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ke\Documents\Projekt\BeBo 2024\TT BostadsFTX\"/>
    </mc:Choice>
  </mc:AlternateContent>
  <xr:revisionPtr revIDLastSave="0" documentId="13_ncr:1_{464D6AE6-5E9E-49CC-BAFF-939D249228EB}" xr6:coauthVersionLast="47" xr6:coauthVersionMax="47" xr10:uidLastSave="{00000000-0000-0000-0000-000000000000}"/>
  <bookViews>
    <workbookView xWindow="67080" yWindow="-3735" windowWidth="38640" windowHeight="21120" xr2:uid="{92A1F0DA-D618-4A61-9D6E-A781DECCB223}"/>
  </bookViews>
  <sheets>
    <sheet name="beräkning eget Bostads-FTX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O40" i="1" s="1"/>
  <c r="O33" i="1"/>
  <c r="N31" i="1"/>
  <c r="O31" i="1" s="1"/>
  <c r="E31" i="1"/>
  <c r="I31" i="1" s="1"/>
  <c r="J31" i="1" s="1"/>
  <c r="B31" i="1"/>
  <c r="N30" i="1"/>
  <c r="O30" i="1" s="1"/>
  <c r="B30" i="1"/>
  <c r="E30" i="1" s="1"/>
  <c r="N29" i="1"/>
  <c r="O29" i="1" s="1"/>
  <c r="B29" i="1"/>
  <c r="E29" i="1" s="1"/>
  <c r="N28" i="1"/>
  <c r="O28" i="1" s="1"/>
  <c r="B28" i="1"/>
  <c r="E28" i="1" s="1"/>
  <c r="N27" i="1"/>
  <c r="O27" i="1" s="1"/>
  <c r="B27" i="1"/>
  <c r="E27" i="1" s="1"/>
  <c r="N26" i="1"/>
  <c r="O26" i="1" s="1"/>
  <c r="B26" i="1"/>
  <c r="E26" i="1" s="1"/>
  <c r="N25" i="1"/>
  <c r="O25" i="1" s="1"/>
  <c r="B25" i="1"/>
  <c r="E25" i="1" s="1"/>
  <c r="N24" i="1"/>
  <c r="O24" i="1" s="1"/>
  <c r="B24" i="1"/>
  <c r="E24" i="1" s="1"/>
  <c r="N23" i="1"/>
  <c r="O23" i="1" s="1"/>
  <c r="B23" i="1"/>
  <c r="E23" i="1" s="1"/>
  <c r="N22" i="1"/>
  <c r="O22" i="1" s="1"/>
  <c r="B22" i="1"/>
  <c r="E22" i="1" s="1"/>
  <c r="I22" i="1" s="1"/>
  <c r="J22" i="1" s="1"/>
  <c r="N21" i="1"/>
  <c r="O21" i="1" s="1"/>
  <c r="B21" i="1"/>
  <c r="E21" i="1" s="1"/>
  <c r="N20" i="1"/>
  <c r="O20" i="1" s="1"/>
  <c r="B20" i="1"/>
  <c r="E20" i="1" s="1"/>
  <c r="N19" i="1"/>
  <c r="O19" i="1" s="1"/>
  <c r="B19" i="1"/>
  <c r="E19" i="1" s="1"/>
  <c r="N18" i="1"/>
  <c r="O18" i="1" s="1"/>
  <c r="B18" i="1"/>
  <c r="E18" i="1" s="1"/>
  <c r="N17" i="1"/>
  <c r="O17" i="1" s="1"/>
  <c r="B17" i="1"/>
  <c r="E17" i="1" s="1"/>
  <c r="N16" i="1"/>
  <c r="O16" i="1" s="1"/>
  <c r="B16" i="1"/>
  <c r="E16" i="1" s="1"/>
  <c r="N15" i="1"/>
  <c r="O15" i="1" s="1"/>
  <c r="B15" i="1"/>
  <c r="E15" i="1" s="1"/>
  <c r="I15" i="1" s="1"/>
  <c r="J15" i="1" s="1"/>
  <c r="N14" i="1"/>
  <c r="O14" i="1" s="1"/>
  <c r="B14" i="1"/>
  <c r="E14" i="1" s="1"/>
  <c r="I14" i="1" s="1"/>
  <c r="J14" i="1" s="1"/>
  <c r="N13" i="1"/>
  <c r="O13" i="1" s="1"/>
  <c r="B13" i="1"/>
  <c r="E13" i="1" s="1"/>
  <c r="N12" i="1"/>
  <c r="O12" i="1" s="1"/>
  <c r="B12" i="1"/>
  <c r="E12" i="1" s="1"/>
  <c r="N11" i="1"/>
  <c r="O11" i="1" s="1"/>
  <c r="B11" i="1"/>
  <c r="E11" i="1" s="1"/>
  <c r="F31" i="1" l="1"/>
  <c r="F23" i="1"/>
  <c r="I23" i="1"/>
  <c r="J23" i="1" s="1"/>
  <c r="F24" i="1"/>
  <c r="I24" i="1"/>
  <c r="J24" i="1" s="1"/>
  <c r="F16" i="1"/>
  <c r="I16" i="1"/>
  <c r="J16" i="1" s="1"/>
  <c r="I25" i="1"/>
  <c r="J25" i="1" s="1"/>
  <c r="F25" i="1"/>
  <c r="F17" i="1"/>
  <c r="I17" i="1"/>
  <c r="J17" i="1" s="1"/>
  <c r="F26" i="1"/>
  <c r="I26" i="1"/>
  <c r="J26" i="1" s="1"/>
  <c r="I18" i="1"/>
  <c r="J18" i="1" s="1"/>
  <c r="F18" i="1"/>
  <c r="F27" i="1"/>
  <c r="I27" i="1"/>
  <c r="J27" i="1" s="1"/>
  <c r="I19" i="1"/>
  <c r="J19" i="1" s="1"/>
  <c r="F19" i="1"/>
  <c r="I28" i="1"/>
  <c r="J28" i="1" s="1"/>
  <c r="F28" i="1"/>
  <c r="I11" i="1"/>
  <c r="F11" i="1"/>
  <c r="F29" i="1"/>
  <c r="I29" i="1"/>
  <c r="J29" i="1" s="1"/>
  <c r="O32" i="1"/>
  <c r="I20" i="1"/>
  <c r="J20" i="1" s="1"/>
  <c r="F20" i="1"/>
  <c r="F12" i="1"/>
  <c r="I12" i="1"/>
  <c r="J12" i="1" s="1"/>
  <c r="I30" i="1"/>
  <c r="J30" i="1" s="1"/>
  <c r="F30" i="1"/>
  <c r="I21" i="1"/>
  <c r="J21" i="1" s="1"/>
  <c r="F21" i="1"/>
  <c r="I13" i="1"/>
  <c r="J13" i="1" s="1"/>
  <c r="F13" i="1"/>
  <c r="F14" i="1"/>
  <c r="F22" i="1"/>
  <c r="J42" i="1"/>
  <c r="T30" i="1"/>
  <c r="V30" i="1" s="1"/>
  <c r="F15" i="1"/>
  <c r="P35" i="1" l="1"/>
  <c r="T27" i="1" s="1"/>
  <c r="V27" i="1" s="1"/>
  <c r="J11" i="1"/>
  <c r="J32" i="1" s="1"/>
  <c r="J35" i="1" s="1"/>
  <c r="J36" i="1" l="1"/>
  <c r="O39" i="1"/>
  <c r="O41" i="1" s="1"/>
  <c r="O42" i="1" s="1"/>
  <c r="T28" i="1"/>
  <c r="V28" i="1" s="1"/>
  <c r="V32" i="1" s="1"/>
  <c r="J44" i="1"/>
  <c r="J45" i="1" s="1"/>
</calcChain>
</file>

<file path=xl/sharedStrings.xml><?xml version="1.0" encoding="utf-8"?>
<sst xmlns="http://schemas.openxmlformats.org/spreadsheetml/2006/main" count="94" uniqueCount="75">
  <si>
    <t>Frånluftsflöde</t>
  </si>
  <si>
    <t>l/s</t>
  </si>
  <si>
    <t>Tilluftsflöde</t>
  </si>
  <si>
    <t>Tilluftstemperatur</t>
  </si>
  <si>
    <t>C</t>
  </si>
  <si>
    <t>Frånluftstemperatur</t>
  </si>
  <si>
    <t>Atemp</t>
  </si>
  <si>
    <t>kvm</t>
  </si>
  <si>
    <t xml:space="preserve">Extra heat demand radiators </t>
  </si>
  <si>
    <t>Antag Tverk 0,5 vid Tute -12C - -15C</t>
  </si>
  <si>
    <t xml:space="preserve">due to greater air flow </t>
  </si>
  <si>
    <t>Temp.höjn tilluftsfläkt</t>
  </si>
  <si>
    <t>imbalance than 0,95</t>
  </si>
  <si>
    <t>Luftflödes-</t>
  </si>
  <si>
    <t>Ventilationsaggregat</t>
  </si>
  <si>
    <t>Apartments</t>
  </si>
  <si>
    <t>Tutem</t>
  </si>
  <si>
    <t>Tefv</t>
  </si>
  <si>
    <t>Tverkm</t>
  </si>
  <si>
    <t>Tim</t>
  </si>
  <si>
    <t>Tevvx</t>
  </si>
  <si>
    <t>Gradtim</t>
  </si>
  <si>
    <t>Balans</t>
  </si>
  <si>
    <t>Pevb</t>
  </si>
  <si>
    <t>Qevb</t>
  </si>
  <si>
    <t>dPrad</t>
  </si>
  <si>
    <t>dQrad</t>
  </si>
  <si>
    <t>Energi och effektkostnader</t>
  </si>
  <si>
    <t>Fjärrvärme (Avrundat Stocholm Exergi priser, 2024)</t>
  </si>
  <si>
    <t>Effekt</t>
  </si>
  <si>
    <t>kr/kW</t>
  </si>
  <si>
    <t>Energi (vinter)</t>
  </si>
  <si>
    <t>kr/kWh</t>
  </si>
  <si>
    <t>Elenergi inkl nätkostnader mm</t>
  </si>
  <si>
    <t>Energi</t>
  </si>
  <si>
    <t>Elenergi</t>
  </si>
  <si>
    <t>Total kostnad/år</t>
  </si>
  <si>
    <t xml:space="preserve">-15C - +5C </t>
  </si>
  <si>
    <t>5,5 - 15,0</t>
  </si>
  <si>
    <t>gradtim</t>
  </si>
  <si>
    <t>Totalt</t>
  </si>
  <si>
    <t>kWh</t>
  </si>
  <si>
    <t>Pevb+dPrad -15C</t>
  </si>
  <si>
    <t>kW</t>
  </si>
  <si>
    <t>kWh/kvm,år</t>
  </si>
  <si>
    <t>El till fläktar inklusive extra tryckfall för ev förvärmningsbatteri minus ev elbesparande åtgärder (tryckfallsminskade)</t>
  </si>
  <si>
    <t>Total energianv</t>
  </si>
  <si>
    <t>Pumpel till ev förvärmning</t>
  </si>
  <si>
    <t>Värme</t>
  </si>
  <si>
    <t>Investering</t>
  </si>
  <si>
    <t>Pumpel till ev förkylning</t>
  </si>
  <si>
    <t>El</t>
  </si>
  <si>
    <t>Årlig kapitalkostnad</t>
  </si>
  <si>
    <t>???</t>
  </si>
  <si>
    <t>Total</t>
  </si>
  <si>
    <t>Övriga driftkostnader</t>
  </si>
  <si>
    <t>FJV</t>
  </si>
  <si>
    <t>Specifik</t>
  </si>
  <si>
    <t>Specifik energi</t>
  </si>
  <si>
    <t>Primärenergi</t>
  </si>
  <si>
    <t>Primärenergital</t>
  </si>
  <si>
    <t>Förutsättningar för ventilationsaggregat</t>
  </si>
  <si>
    <t>Helst bör utetemperaturen variera mellan +5C och -15C</t>
  </si>
  <si>
    <t>Beräkna temperaturverkningsgrad och luftflödesbalans</t>
  </si>
  <si>
    <t>Avrunda utomhustemperaturen till närmaste heltal</t>
  </si>
  <si>
    <t>Sortera på avrundad utomhustemeratur</t>
  </si>
  <si>
    <t>Saknas några värden antag rimliga värden på saknade värden</t>
  </si>
  <si>
    <t>Beräkna energi- och effektbehov enligt denna Excel-mall</t>
  </si>
  <si>
    <t>Beräkna medeltemperaturverkningsgrad samt  luftflödesbalans för respektive avrundad utomhustemperatur</t>
  </si>
  <si>
    <t>Energi och effektbehov beräknas i Excel-arket</t>
  </si>
  <si>
    <t>Använd inte temperaturverkingsgrad i FTX styr, som kan innehålla begränsning</t>
  </si>
  <si>
    <t>Från detaljerade mätdata för ventilationsaggregat under minst 6 veckor under uppvärmningssäsong (Om möjligt 5 eller 10-min-sampling)</t>
  </si>
  <si>
    <t>Beräkna fbh fuktalstring om mätdata finns för fuktinnehåll i frånluft samt uteluft/ tilluft</t>
  </si>
  <si>
    <t>Beräkning för Stockholm/Bromma</t>
  </si>
  <si>
    <t>Lägg in i kolumn C (medelverkningsgrad) och G (luftflödesbalans) så beräknas vent.agg.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</si>
</sst>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r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3" fillId="0" borderId="0" xfId="0" applyNumberFormat="1" applyFont="1"/>
    <xf numFmtId="2" fontId="3" fillId="4" borderId="0" xfId="0" applyNumberFormat="1" applyFont="1" applyFill="1"/>
    <xf numFmtId="1" fontId="3" fillId="0" borderId="0" xfId="0" applyNumberFormat="1" applyFont="1"/>
    <xf numFmtId="0" fontId="3" fillId="4" borderId="0" xfId="0" applyFont="1" applyFill="1"/>
    <xf numFmtId="0" fontId="3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4" borderId="0" xfId="0" applyNumberFormat="1" applyFill="1"/>
    <xf numFmtId="0" fontId="0" fillId="0" borderId="0" xfId="0" quotePrefix="1" applyAlignment="1">
      <alignment horizontal="center"/>
    </xf>
    <xf numFmtId="1" fontId="0" fillId="4" borderId="0" xfId="0" applyNumberFormat="1" applyFill="1"/>
    <xf numFmtId="2" fontId="0" fillId="0" borderId="0" xfId="0" applyNumberFormat="1" applyAlignment="1">
      <alignment horizontal="center"/>
    </xf>
    <xf numFmtId="16" fontId="0" fillId="0" borderId="0" xfId="0" applyNumberFormat="1"/>
    <xf numFmtId="1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/>
    </xf>
    <xf numFmtId="2" fontId="3" fillId="0" borderId="0" xfId="0" applyNumberFormat="1" applyFont="1" applyFill="1"/>
    <xf numFmtId="1" fontId="3" fillId="0" borderId="0" xfId="0" applyNumberFormat="1" applyFont="1" applyFill="1"/>
    <xf numFmtId="1" fontId="0" fillId="0" borderId="0" xfId="0" applyNumberFormat="1" applyFill="1"/>
    <xf numFmtId="2" fontId="0" fillId="0" borderId="0" xfId="0" applyNumberFormat="1" applyFill="1"/>
    <xf numFmtId="0" fontId="4" fillId="5" borderId="0" xfId="0" applyFont="1" applyFill="1"/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5749-592B-4EC3-904C-D14CADFE4665}">
  <dimension ref="A1:W54"/>
  <sheetViews>
    <sheetView tabSelected="1" zoomScale="120" zoomScaleNormal="120" workbookViewId="0">
      <selection activeCell="Q11" sqref="Q11:W11"/>
    </sheetView>
  </sheetViews>
  <sheetFormatPr defaultRowHeight="14.4" x14ac:dyDescent="0.3"/>
  <cols>
    <col min="1" max="1" width="18" customWidth="1"/>
    <col min="2" max="2" width="4.5546875" hidden="1" customWidth="1"/>
    <col min="3" max="3" width="8.88671875" customWidth="1"/>
    <col min="6" max="7" width="8.33203125" customWidth="1"/>
    <col min="8" max="8" width="3.33203125" customWidth="1"/>
    <col min="9" max="9" width="11.6640625" customWidth="1"/>
    <col min="10" max="10" width="7.5546875" customWidth="1"/>
    <col min="11" max="11" width="5.6640625" customWidth="1"/>
    <col min="12" max="12" width="11.109375" customWidth="1"/>
    <col min="13" max="13" width="3.6640625" customWidth="1"/>
    <col min="14" max="14" width="14" customWidth="1"/>
    <col min="15" max="15" width="10.33203125" customWidth="1"/>
    <col min="20" max="20" width="12.109375" customWidth="1"/>
    <col min="21" max="21" width="13" customWidth="1"/>
    <col min="22" max="22" width="13.77734375" customWidth="1"/>
    <col min="23" max="23" width="9" customWidth="1"/>
  </cols>
  <sheetData>
    <row r="1" spans="1:23" ht="15.6" x14ac:dyDescent="0.3">
      <c r="A1" t="s">
        <v>61</v>
      </c>
      <c r="F1" t="s">
        <v>73</v>
      </c>
      <c r="Q1" s="38" t="s">
        <v>67</v>
      </c>
      <c r="R1" s="38"/>
      <c r="S1" s="38"/>
      <c r="T1" s="38"/>
      <c r="U1" s="38"/>
      <c r="V1" s="38"/>
      <c r="W1" s="38"/>
    </row>
    <row r="2" spans="1:23" x14ac:dyDescent="0.3">
      <c r="A2" t="s">
        <v>0</v>
      </c>
      <c r="C2" s="43">
        <v>1000</v>
      </c>
      <c r="D2" t="s">
        <v>1</v>
      </c>
      <c r="Q2" s="32" t="s">
        <v>71</v>
      </c>
      <c r="R2" s="32"/>
      <c r="S2" s="32"/>
      <c r="T2" s="32"/>
      <c r="U2" s="32"/>
      <c r="V2" s="32"/>
      <c r="W2" s="32"/>
    </row>
    <row r="3" spans="1:23" x14ac:dyDescent="0.3">
      <c r="A3" t="s">
        <v>2</v>
      </c>
      <c r="C3" s="43">
        <v>950</v>
      </c>
      <c r="D3" t="s">
        <v>1</v>
      </c>
      <c r="Q3" s="32"/>
      <c r="R3" s="32"/>
      <c r="S3" s="32"/>
      <c r="T3" s="32"/>
      <c r="U3" s="32"/>
      <c r="V3" s="32"/>
      <c r="W3" s="32"/>
    </row>
    <row r="4" spans="1:23" x14ac:dyDescent="0.3">
      <c r="A4" t="s">
        <v>3</v>
      </c>
      <c r="C4" s="43">
        <v>19</v>
      </c>
      <c r="D4" t="s">
        <v>4</v>
      </c>
      <c r="Q4" s="33" t="s">
        <v>62</v>
      </c>
      <c r="R4" s="33"/>
      <c r="S4" s="33"/>
      <c r="T4" s="33"/>
      <c r="U4" s="33"/>
      <c r="V4" s="33"/>
      <c r="W4" s="33"/>
    </row>
    <row r="5" spans="1:23" x14ac:dyDescent="0.3">
      <c r="A5" t="s">
        <v>5</v>
      </c>
      <c r="C5" s="43">
        <v>22</v>
      </c>
      <c r="D5" t="s">
        <v>4</v>
      </c>
      <c r="Q5" s="33" t="s">
        <v>63</v>
      </c>
      <c r="R5" s="33"/>
      <c r="S5" s="33"/>
      <c r="T5" s="33"/>
      <c r="U5" s="33"/>
      <c r="V5" s="33"/>
      <c r="W5" s="33"/>
    </row>
    <row r="6" spans="1:23" x14ac:dyDescent="0.3">
      <c r="A6" t="s">
        <v>6</v>
      </c>
      <c r="C6" s="43">
        <v>2500</v>
      </c>
      <c r="D6" t="s">
        <v>7</v>
      </c>
      <c r="M6" t="s">
        <v>8</v>
      </c>
      <c r="Q6" s="33" t="s">
        <v>70</v>
      </c>
      <c r="R6" s="33"/>
      <c r="S6" s="33"/>
      <c r="T6" s="33"/>
      <c r="U6" s="33"/>
      <c r="V6" s="33"/>
      <c r="W6" s="33"/>
    </row>
    <row r="7" spans="1:23" x14ac:dyDescent="0.3">
      <c r="A7" s="43" t="s">
        <v>9</v>
      </c>
      <c r="B7" s="1"/>
      <c r="C7" s="43"/>
      <c r="D7" s="43"/>
      <c r="M7" t="s">
        <v>10</v>
      </c>
      <c r="Q7" s="33" t="s">
        <v>64</v>
      </c>
      <c r="R7" s="33"/>
      <c r="S7" s="33"/>
      <c r="T7" s="33"/>
      <c r="U7" s="33"/>
      <c r="V7" s="33"/>
      <c r="W7" s="33"/>
    </row>
    <row r="8" spans="1:23" ht="14.4" customHeight="1" x14ac:dyDescent="0.3">
      <c r="A8" t="s">
        <v>11</v>
      </c>
      <c r="C8" s="43">
        <v>0.4</v>
      </c>
      <c r="D8" s="2" t="s">
        <v>4</v>
      </c>
      <c r="M8" t="s">
        <v>12</v>
      </c>
      <c r="Q8" s="33" t="s">
        <v>65</v>
      </c>
      <c r="R8" s="33"/>
      <c r="S8" s="33"/>
      <c r="T8" s="33"/>
      <c r="U8" s="33"/>
      <c r="V8" s="33"/>
      <c r="W8" s="33"/>
    </row>
    <row r="9" spans="1:23" x14ac:dyDescent="0.3">
      <c r="G9" t="s">
        <v>13</v>
      </c>
      <c r="I9" s="28" t="s">
        <v>14</v>
      </c>
      <c r="J9" s="28"/>
      <c r="N9" s="28" t="s">
        <v>15</v>
      </c>
      <c r="O9" s="28"/>
      <c r="Q9" s="32" t="s">
        <v>68</v>
      </c>
      <c r="R9" s="32"/>
      <c r="S9" s="32"/>
      <c r="T9" s="32"/>
      <c r="U9" s="32"/>
      <c r="V9" s="32"/>
      <c r="W9" s="32"/>
    </row>
    <row r="10" spans="1:23" ht="15.6" x14ac:dyDescent="0.3">
      <c r="A10" s="4" t="s">
        <v>16</v>
      </c>
      <c r="B10" s="4" t="s">
        <v>17</v>
      </c>
      <c r="C10" s="4" t="s">
        <v>18</v>
      </c>
      <c r="D10" s="4" t="s">
        <v>19</v>
      </c>
      <c r="E10" s="5" t="s">
        <v>20</v>
      </c>
      <c r="F10" s="6" t="s">
        <v>21</v>
      </c>
      <c r="G10" s="6" t="s">
        <v>22</v>
      </c>
      <c r="H10" s="6"/>
      <c r="I10" s="6" t="s">
        <v>23</v>
      </c>
      <c r="J10" s="6" t="s">
        <v>24</v>
      </c>
      <c r="K10" s="6"/>
      <c r="L10" s="6"/>
      <c r="M10" s="6"/>
      <c r="N10" s="6" t="s">
        <v>25</v>
      </c>
      <c r="O10" s="6" t="s">
        <v>26</v>
      </c>
      <c r="Q10" s="32"/>
      <c r="R10" s="32"/>
      <c r="S10" s="32"/>
      <c r="T10" s="32"/>
      <c r="U10" s="32"/>
      <c r="V10" s="32"/>
      <c r="W10" s="32"/>
    </row>
    <row r="11" spans="1:23" ht="15.6" x14ac:dyDescent="0.3">
      <c r="A11" s="4">
        <v>-15</v>
      </c>
      <c r="B11" s="7">
        <f>A11</f>
        <v>-15</v>
      </c>
      <c r="C11" s="39">
        <v>0.5</v>
      </c>
      <c r="D11" s="4">
        <v>2</v>
      </c>
      <c r="E11" s="34">
        <f t="shared" ref="E11:E31" si="0">IF(A11+C11*(C$5-A11)&lt;(C$4-C$8),A11+C11*(C$5-B11),(C$4-C$8))</f>
        <v>3.5</v>
      </c>
      <c r="F11" s="35">
        <f t="shared" ref="F11:F31" si="1">(C$4-E11)*D11</f>
        <v>31</v>
      </c>
      <c r="G11" s="42">
        <v>0.95</v>
      </c>
      <c r="H11" s="8"/>
      <c r="I11" s="9">
        <f t="shared" ref="I11:I31" si="2">(C$4-C$8-E11)*1.2*G11</f>
        <v>17.213999999999999</v>
      </c>
      <c r="J11" s="35">
        <f t="shared" ref="J11:J31" si="3">I11*D11</f>
        <v>34.427999999999997</v>
      </c>
      <c r="K11" s="10"/>
      <c r="L11" s="10"/>
      <c r="M11" s="10"/>
      <c r="N11" s="11">
        <f t="shared" ref="N11:N31" si="4">(0.95-G11)*C$2/1000*1.2*(C$4-A11)</f>
        <v>0</v>
      </c>
      <c r="O11" s="12">
        <f t="shared" ref="O11:O31" si="5">N11*D11</f>
        <v>0</v>
      </c>
      <c r="Q11" s="33" t="s">
        <v>74</v>
      </c>
      <c r="R11" s="33"/>
      <c r="S11" s="33"/>
      <c r="T11" s="33"/>
      <c r="U11" s="33"/>
      <c r="V11" s="33"/>
      <c r="W11" s="33"/>
    </row>
    <row r="12" spans="1:23" ht="15.6" x14ac:dyDescent="0.3">
      <c r="A12" s="4">
        <v>-14</v>
      </c>
      <c r="B12" s="7">
        <f t="shared" ref="B12:B31" si="6">A12</f>
        <v>-14</v>
      </c>
      <c r="C12" s="39">
        <v>0.5</v>
      </c>
      <c r="D12" s="4">
        <v>10</v>
      </c>
      <c r="E12" s="34">
        <f t="shared" si="0"/>
        <v>4</v>
      </c>
      <c r="F12" s="35">
        <f t="shared" si="1"/>
        <v>150</v>
      </c>
      <c r="G12" s="42">
        <v>0.95</v>
      </c>
      <c r="H12" s="8"/>
      <c r="I12" s="34">
        <f t="shared" si="2"/>
        <v>16.643999999999998</v>
      </c>
      <c r="J12" s="35">
        <f t="shared" si="3"/>
        <v>166.44</v>
      </c>
      <c r="K12" s="10"/>
      <c r="L12" s="10"/>
      <c r="M12" s="10"/>
      <c r="N12" s="12">
        <f t="shared" si="4"/>
        <v>0</v>
      </c>
      <c r="O12" s="12">
        <f t="shared" si="5"/>
        <v>0</v>
      </c>
      <c r="Q12" s="33" t="s">
        <v>66</v>
      </c>
      <c r="R12" s="33"/>
      <c r="S12" s="33"/>
      <c r="T12" s="33"/>
      <c r="U12" s="33"/>
      <c r="V12" s="33"/>
      <c r="W12" s="33"/>
    </row>
    <row r="13" spans="1:23" ht="15.6" x14ac:dyDescent="0.3">
      <c r="A13" s="4">
        <v>-13</v>
      </c>
      <c r="B13" s="7">
        <f t="shared" si="6"/>
        <v>-13</v>
      </c>
      <c r="C13" s="39">
        <v>0.5</v>
      </c>
      <c r="D13" s="4">
        <v>18</v>
      </c>
      <c r="E13" s="34">
        <f t="shared" si="0"/>
        <v>4.5</v>
      </c>
      <c r="F13" s="35">
        <f t="shared" si="1"/>
        <v>261</v>
      </c>
      <c r="G13" s="42">
        <v>0.95</v>
      </c>
      <c r="H13" s="8"/>
      <c r="I13" s="34">
        <f t="shared" si="2"/>
        <v>16.074000000000002</v>
      </c>
      <c r="J13" s="35">
        <f t="shared" si="3"/>
        <v>289.33200000000005</v>
      </c>
      <c r="K13" s="10"/>
      <c r="L13" s="10"/>
      <c r="M13" s="10"/>
      <c r="N13" s="12">
        <f t="shared" si="4"/>
        <v>0</v>
      </c>
      <c r="O13" s="12">
        <f t="shared" si="5"/>
        <v>0</v>
      </c>
      <c r="Q13" s="33" t="s">
        <v>69</v>
      </c>
      <c r="R13" s="33"/>
      <c r="S13" s="33"/>
      <c r="T13" s="33"/>
      <c r="U13" s="33"/>
      <c r="V13" s="33"/>
      <c r="W13" s="33"/>
    </row>
    <row r="14" spans="1:23" ht="15.6" customHeight="1" x14ac:dyDescent="0.3">
      <c r="A14" s="4">
        <v>-12</v>
      </c>
      <c r="B14" s="7">
        <f t="shared" si="6"/>
        <v>-12</v>
      </c>
      <c r="C14" s="39">
        <v>0.5</v>
      </c>
      <c r="D14" s="4">
        <v>23</v>
      </c>
      <c r="E14" s="34">
        <f t="shared" si="0"/>
        <v>5</v>
      </c>
      <c r="F14" s="35">
        <f t="shared" si="1"/>
        <v>322</v>
      </c>
      <c r="G14" s="42">
        <v>0.95</v>
      </c>
      <c r="H14" s="8"/>
      <c r="I14" s="34">
        <f t="shared" si="2"/>
        <v>15.504</v>
      </c>
      <c r="J14" s="35">
        <f t="shared" si="3"/>
        <v>356.59199999999998</v>
      </c>
      <c r="K14" s="10"/>
      <c r="L14" s="10"/>
      <c r="M14" s="10"/>
      <c r="N14" s="12">
        <f t="shared" si="4"/>
        <v>0</v>
      </c>
      <c r="O14" s="12">
        <f t="shared" si="5"/>
        <v>0</v>
      </c>
      <c r="Q14" s="32" t="s">
        <v>72</v>
      </c>
      <c r="R14" s="32"/>
      <c r="S14" s="32"/>
      <c r="T14" s="32"/>
      <c r="U14" s="32"/>
      <c r="V14" s="32"/>
      <c r="W14" s="32"/>
    </row>
    <row r="15" spans="1:23" ht="15.6" x14ac:dyDescent="0.3">
      <c r="A15" s="4">
        <v>-11</v>
      </c>
      <c r="B15" s="7">
        <f t="shared" si="6"/>
        <v>-11</v>
      </c>
      <c r="C15" s="40">
        <v>0.5</v>
      </c>
      <c r="D15" s="4">
        <v>26</v>
      </c>
      <c r="E15" s="34">
        <f t="shared" si="0"/>
        <v>5.5</v>
      </c>
      <c r="F15" s="36">
        <f t="shared" si="1"/>
        <v>351</v>
      </c>
      <c r="G15" s="42">
        <v>0.95</v>
      </c>
      <c r="H15" s="14"/>
      <c r="I15" s="37">
        <f t="shared" si="2"/>
        <v>14.933999999999999</v>
      </c>
      <c r="J15" s="36">
        <f t="shared" si="3"/>
        <v>388.28399999999999</v>
      </c>
      <c r="K15" s="13"/>
      <c r="L15" s="13"/>
      <c r="M15" s="13"/>
      <c r="N15">
        <f t="shared" si="4"/>
        <v>0</v>
      </c>
      <c r="O15">
        <f t="shared" si="5"/>
        <v>0</v>
      </c>
      <c r="Q15" s="32"/>
      <c r="R15" s="32"/>
      <c r="S15" s="32"/>
      <c r="T15" s="32"/>
      <c r="U15" s="32"/>
      <c r="V15" s="32"/>
      <c r="W15" s="32"/>
    </row>
    <row r="16" spans="1:23" ht="15.6" x14ac:dyDescent="0.3">
      <c r="A16" s="4">
        <v>-10</v>
      </c>
      <c r="B16" s="7">
        <f t="shared" si="6"/>
        <v>-10</v>
      </c>
      <c r="C16" s="41">
        <v>0.55743740517241369</v>
      </c>
      <c r="D16" s="4">
        <v>31</v>
      </c>
      <c r="E16" s="34">
        <f t="shared" si="0"/>
        <v>7.8379969655172381</v>
      </c>
      <c r="F16" s="36">
        <f t="shared" si="1"/>
        <v>346.0220940689656</v>
      </c>
      <c r="G16" s="42">
        <v>0.95</v>
      </c>
      <c r="H16" s="14"/>
      <c r="I16" s="14">
        <f t="shared" si="2"/>
        <v>12.268683459310349</v>
      </c>
      <c r="J16" s="13">
        <f t="shared" si="3"/>
        <v>380.32918723862082</v>
      </c>
      <c r="K16" s="13"/>
      <c r="L16" s="13"/>
      <c r="M16" s="13"/>
      <c r="N16">
        <f t="shared" si="4"/>
        <v>0</v>
      </c>
      <c r="O16">
        <f t="shared" si="5"/>
        <v>0</v>
      </c>
    </row>
    <row r="17" spans="1:23" ht="15.6" x14ac:dyDescent="0.3">
      <c r="A17" s="4">
        <v>-9</v>
      </c>
      <c r="B17" s="7">
        <f t="shared" si="6"/>
        <v>-9</v>
      </c>
      <c r="C17" s="41">
        <v>0.58927855645161287</v>
      </c>
      <c r="D17" s="4">
        <v>60</v>
      </c>
      <c r="E17" s="34">
        <f t="shared" si="0"/>
        <v>9.2676352499999979</v>
      </c>
      <c r="F17" s="36">
        <f t="shared" si="1"/>
        <v>583.94188500000018</v>
      </c>
      <c r="G17" s="42">
        <v>0.95</v>
      </c>
      <c r="H17" s="14"/>
      <c r="I17" s="14">
        <f t="shared" si="2"/>
        <v>10.638895815000003</v>
      </c>
      <c r="J17" s="13">
        <f t="shared" si="3"/>
        <v>638.33374890000016</v>
      </c>
      <c r="K17" s="13"/>
      <c r="L17" s="13"/>
      <c r="M17" s="13"/>
      <c r="N17">
        <f t="shared" si="4"/>
        <v>0</v>
      </c>
      <c r="O17">
        <f t="shared" si="5"/>
        <v>0</v>
      </c>
    </row>
    <row r="18" spans="1:23" ht="15.6" x14ac:dyDescent="0.3">
      <c r="A18" s="4">
        <v>-8</v>
      </c>
      <c r="B18" s="7">
        <f t="shared" si="6"/>
        <v>-8</v>
      </c>
      <c r="C18" s="41">
        <v>0.68682203163265343</v>
      </c>
      <c r="D18" s="4">
        <v>56</v>
      </c>
      <c r="E18" s="34">
        <f t="shared" si="0"/>
        <v>12.604660948979603</v>
      </c>
      <c r="F18" s="36">
        <f t="shared" si="1"/>
        <v>358.13898685714219</v>
      </c>
      <c r="G18" s="42">
        <v>0.95</v>
      </c>
      <c r="H18" s="14"/>
      <c r="I18" s="14">
        <f t="shared" si="2"/>
        <v>6.8346865181632532</v>
      </c>
      <c r="J18" s="13">
        <f t="shared" si="3"/>
        <v>382.74244501714219</v>
      </c>
      <c r="K18" s="13"/>
      <c r="L18" s="13"/>
      <c r="M18" s="13"/>
      <c r="N18">
        <f t="shared" si="4"/>
        <v>0</v>
      </c>
      <c r="O18">
        <f t="shared" si="5"/>
        <v>0</v>
      </c>
      <c r="S18" t="s">
        <v>27</v>
      </c>
    </row>
    <row r="19" spans="1:23" ht="15.6" x14ac:dyDescent="0.3">
      <c r="A19" s="4">
        <v>-7</v>
      </c>
      <c r="B19" s="7">
        <f t="shared" si="6"/>
        <v>-7</v>
      </c>
      <c r="C19" s="41">
        <v>0.68303981990291274</v>
      </c>
      <c r="D19" s="4">
        <v>63</v>
      </c>
      <c r="E19" s="34">
        <f t="shared" si="0"/>
        <v>12.80815477718447</v>
      </c>
      <c r="F19" s="36">
        <f t="shared" si="1"/>
        <v>390.08624903737842</v>
      </c>
      <c r="G19" s="42">
        <v>0.95</v>
      </c>
      <c r="H19" s="14"/>
      <c r="I19" s="14">
        <f t="shared" si="2"/>
        <v>6.6027035540097057</v>
      </c>
      <c r="J19" s="13">
        <f t="shared" si="3"/>
        <v>415.97032390261148</v>
      </c>
      <c r="K19" s="13"/>
      <c r="L19" s="13"/>
      <c r="M19" s="13"/>
      <c r="N19">
        <f t="shared" si="4"/>
        <v>0</v>
      </c>
      <c r="O19">
        <f t="shared" si="5"/>
        <v>0</v>
      </c>
    </row>
    <row r="20" spans="1:23" ht="15.6" x14ac:dyDescent="0.3">
      <c r="A20" s="4">
        <v>-6</v>
      </c>
      <c r="B20" s="7">
        <f t="shared" si="6"/>
        <v>-6</v>
      </c>
      <c r="C20" s="41">
        <v>0.70929429686411183</v>
      </c>
      <c r="D20" s="4">
        <v>73</v>
      </c>
      <c r="E20" s="34">
        <f t="shared" si="0"/>
        <v>13.860240312195131</v>
      </c>
      <c r="F20" s="36">
        <f t="shared" si="1"/>
        <v>375.20245720975544</v>
      </c>
      <c r="G20" s="42">
        <v>0.95</v>
      </c>
      <c r="H20" s="14"/>
      <c r="I20" s="14">
        <f t="shared" si="2"/>
        <v>5.4033260440975512</v>
      </c>
      <c r="J20" s="13">
        <f t="shared" si="3"/>
        <v>394.44280121912124</v>
      </c>
      <c r="K20" s="13"/>
      <c r="L20" s="13"/>
      <c r="M20" s="13"/>
      <c r="N20">
        <f t="shared" si="4"/>
        <v>0</v>
      </c>
      <c r="O20">
        <f t="shared" si="5"/>
        <v>0</v>
      </c>
      <c r="S20" t="s">
        <v>28</v>
      </c>
    </row>
    <row r="21" spans="1:23" ht="15.6" x14ac:dyDescent="0.3">
      <c r="A21" s="4">
        <v>-5</v>
      </c>
      <c r="B21" s="7">
        <f t="shared" si="6"/>
        <v>-5</v>
      </c>
      <c r="C21" s="41">
        <v>0.70877965012500055</v>
      </c>
      <c r="D21" s="4">
        <v>83</v>
      </c>
      <c r="E21" s="34">
        <f t="shared" si="0"/>
        <v>14.137050553375015</v>
      </c>
      <c r="F21" s="36">
        <f t="shared" si="1"/>
        <v>403.62480406987373</v>
      </c>
      <c r="G21" s="42">
        <v>0.95</v>
      </c>
      <c r="H21" s="14"/>
      <c r="I21" s="14">
        <f t="shared" si="2"/>
        <v>5.0877623691524834</v>
      </c>
      <c r="J21" s="13">
        <f t="shared" si="3"/>
        <v>422.28427663965613</v>
      </c>
      <c r="K21" s="13"/>
      <c r="L21" s="13"/>
      <c r="M21" s="13"/>
      <c r="N21">
        <f t="shared" si="4"/>
        <v>0</v>
      </c>
      <c r="O21">
        <f t="shared" si="5"/>
        <v>0</v>
      </c>
      <c r="S21" t="s">
        <v>29</v>
      </c>
      <c r="V21">
        <v>1100</v>
      </c>
      <c r="W21" t="s">
        <v>30</v>
      </c>
    </row>
    <row r="22" spans="1:23" ht="15.6" x14ac:dyDescent="0.3">
      <c r="A22" s="4">
        <v>-4</v>
      </c>
      <c r="B22" s="7">
        <f t="shared" si="6"/>
        <v>-4</v>
      </c>
      <c r="C22" s="41">
        <v>0.71966227027334884</v>
      </c>
      <c r="D22" s="4">
        <v>116</v>
      </c>
      <c r="E22" s="34">
        <f t="shared" si="0"/>
        <v>14.71121902710707</v>
      </c>
      <c r="F22" s="36">
        <f t="shared" si="1"/>
        <v>497.49859285557989</v>
      </c>
      <c r="G22" s="42">
        <v>0.95</v>
      </c>
      <c r="H22" s="14"/>
      <c r="I22" s="14">
        <f t="shared" si="2"/>
        <v>4.4332103090979418</v>
      </c>
      <c r="J22" s="13">
        <f t="shared" si="3"/>
        <v>514.25239585536121</v>
      </c>
      <c r="K22" s="13"/>
      <c r="L22" s="13"/>
      <c r="M22" s="13"/>
      <c r="N22">
        <f t="shared" si="4"/>
        <v>0</v>
      </c>
      <c r="O22">
        <f t="shared" si="5"/>
        <v>0</v>
      </c>
      <c r="S22" t="s">
        <v>31</v>
      </c>
      <c r="V22">
        <v>0.82</v>
      </c>
      <c r="W22" t="s">
        <v>32</v>
      </c>
    </row>
    <row r="23" spans="1:23" ht="15.6" x14ac:dyDescent="0.3">
      <c r="A23" s="4">
        <v>-3</v>
      </c>
      <c r="B23" s="7">
        <f t="shared" si="6"/>
        <v>-3</v>
      </c>
      <c r="C23" s="41">
        <v>0.72511083687943245</v>
      </c>
      <c r="D23" s="4">
        <v>178</v>
      </c>
      <c r="E23" s="34">
        <f t="shared" si="0"/>
        <v>15.12777092198581</v>
      </c>
      <c r="F23" s="36">
        <f t="shared" si="1"/>
        <v>689.25677588652582</v>
      </c>
      <c r="G23" s="42">
        <v>0.95</v>
      </c>
      <c r="H23" s="14"/>
      <c r="I23" s="14">
        <f t="shared" si="2"/>
        <v>3.9583411489361771</v>
      </c>
      <c r="J23" s="13">
        <f t="shared" si="3"/>
        <v>704.58472451063949</v>
      </c>
      <c r="K23" s="13"/>
      <c r="L23" s="13"/>
      <c r="M23" s="13"/>
      <c r="N23">
        <f t="shared" si="4"/>
        <v>0</v>
      </c>
      <c r="O23">
        <f t="shared" si="5"/>
        <v>0</v>
      </c>
    </row>
    <row r="24" spans="1:23" ht="15.6" x14ac:dyDescent="0.3">
      <c r="A24" s="4">
        <v>-2</v>
      </c>
      <c r="B24" s="7">
        <f t="shared" si="6"/>
        <v>-2</v>
      </c>
      <c r="C24" s="41">
        <v>0.72892369113573441</v>
      </c>
      <c r="D24" s="4">
        <v>285</v>
      </c>
      <c r="E24" s="34">
        <f t="shared" si="0"/>
        <v>15.494168587257626</v>
      </c>
      <c r="F24" s="36">
        <f t="shared" si="1"/>
        <v>999.1619526315767</v>
      </c>
      <c r="G24" s="42">
        <v>0.95</v>
      </c>
      <c r="H24" s="14"/>
      <c r="I24" s="14">
        <f t="shared" si="2"/>
        <v>3.5406478105263077</v>
      </c>
      <c r="J24" s="13">
        <f t="shared" si="3"/>
        <v>1009.0846259999977</v>
      </c>
      <c r="K24" s="13"/>
      <c r="L24" s="13"/>
      <c r="M24" s="13"/>
      <c r="N24">
        <f t="shared" si="4"/>
        <v>0</v>
      </c>
      <c r="O24">
        <f t="shared" si="5"/>
        <v>0</v>
      </c>
      <c r="S24" t="s">
        <v>33</v>
      </c>
      <c r="V24">
        <v>1.5</v>
      </c>
      <c r="W24" t="s">
        <v>32</v>
      </c>
    </row>
    <row r="25" spans="1:23" ht="15.6" x14ac:dyDescent="0.3">
      <c r="A25" s="4">
        <v>-1</v>
      </c>
      <c r="B25" s="7">
        <f t="shared" si="6"/>
        <v>-1</v>
      </c>
      <c r="C25" s="41">
        <v>0.73956608712342164</v>
      </c>
      <c r="D25" s="4">
        <v>381</v>
      </c>
      <c r="E25" s="34">
        <f t="shared" si="0"/>
        <v>16.010020003838697</v>
      </c>
      <c r="F25" s="36">
        <f t="shared" si="1"/>
        <v>1139.1823785374563</v>
      </c>
      <c r="G25" s="42">
        <v>0.95</v>
      </c>
      <c r="H25" s="14"/>
      <c r="I25" s="14">
        <f t="shared" si="2"/>
        <v>2.9525771956238867</v>
      </c>
      <c r="J25" s="13">
        <f t="shared" si="3"/>
        <v>1124.9319115327007</v>
      </c>
      <c r="K25" s="13"/>
      <c r="L25" s="13"/>
      <c r="M25" s="13"/>
      <c r="N25">
        <f t="shared" si="4"/>
        <v>0</v>
      </c>
      <c r="O25">
        <f t="shared" si="5"/>
        <v>0</v>
      </c>
    </row>
    <row r="26" spans="1:23" ht="15.6" x14ac:dyDescent="0.3">
      <c r="A26" s="4">
        <v>0</v>
      </c>
      <c r="B26" s="7">
        <f t="shared" si="6"/>
        <v>0</v>
      </c>
      <c r="C26" s="41">
        <v>0.74020581243805683</v>
      </c>
      <c r="D26" s="4">
        <v>490</v>
      </c>
      <c r="E26" s="34">
        <f t="shared" si="0"/>
        <v>16.284527873637252</v>
      </c>
      <c r="F26" s="36">
        <f t="shared" si="1"/>
        <v>1330.5813419177464</v>
      </c>
      <c r="G26" s="42">
        <v>0.95</v>
      </c>
      <c r="H26" s="14"/>
      <c r="I26" s="14">
        <f t="shared" si="2"/>
        <v>2.6396382240535341</v>
      </c>
      <c r="J26" s="13">
        <f t="shared" si="3"/>
        <v>1293.4227297862317</v>
      </c>
      <c r="K26" s="13"/>
      <c r="L26" s="13"/>
      <c r="M26" s="13"/>
      <c r="N26">
        <f t="shared" si="4"/>
        <v>0</v>
      </c>
      <c r="O26">
        <f t="shared" si="5"/>
        <v>0</v>
      </c>
    </row>
    <row r="27" spans="1:23" ht="15.6" x14ac:dyDescent="0.3">
      <c r="A27" s="4">
        <v>1</v>
      </c>
      <c r="B27" s="7">
        <f t="shared" si="6"/>
        <v>1</v>
      </c>
      <c r="C27" s="41">
        <v>0.7811131730868448</v>
      </c>
      <c r="D27" s="4">
        <v>438</v>
      </c>
      <c r="E27" s="34">
        <f t="shared" si="0"/>
        <v>17.40337663482374</v>
      </c>
      <c r="F27" s="36">
        <f t="shared" si="1"/>
        <v>699.32103394720184</v>
      </c>
      <c r="G27" s="42">
        <v>0.95</v>
      </c>
      <c r="H27" s="14"/>
      <c r="I27" s="14">
        <f t="shared" si="2"/>
        <v>1.3641506363009379</v>
      </c>
      <c r="J27" s="13">
        <f t="shared" si="3"/>
        <v>597.4979786998108</v>
      </c>
      <c r="K27" s="13"/>
      <c r="L27" s="13"/>
      <c r="M27" s="13"/>
      <c r="N27">
        <f t="shared" si="4"/>
        <v>0</v>
      </c>
      <c r="O27">
        <f t="shared" si="5"/>
        <v>0</v>
      </c>
      <c r="S27" t="s">
        <v>29</v>
      </c>
      <c r="T27" s="15">
        <f>P35</f>
        <v>17.213999999999999</v>
      </c>
      <c r="U27">
        <v>1100</v>
      </c>
      <c r="V27" s="16">
        <f>T27*U27</f>
        <v>18935.399999999998</v>
      </c>
    </row>
    <row r="28" spans="1:23" ht="15.6" x14ac:dyDescent="0.3">
      <c r="A28" s="4">
        <v>2</v>
      </c>
      <c r="B28" s="7">
        <f t="shared" si="6"/>
        <v>2</v>
      </c>
      <c r="C28" s="41">
        <v>0.80630486010182323</v>
      </c>
      <c r="D28" s="4">
        <v>378</v>
      </c>
      <c r="E28" s="34">
        <f t="shared" si="0"/>
        <v>18.126097202036465</v>
      </c>
      <c r="F28" s="36">
        <f t="shared" si="1"/>
        <v>330.33525763021606</v>
      </c>
      <c r="G28" s="42">
        <v>0.95</v>
      </c>
      <c r="H28" s="14"/>
      <c r="I28" s="14">
        <f t="shared" si="2"/>
        <v>0.54024918967843094</v>
      </c>
      <c r="J28" s="13">
        <f t="shared" si="3"/>
        <v>204.21419369844691</v>
      </c>
      <c r="K28" s="13"/>
      <c r="L28" s="13"/>
      <c r="M28" s="13"/>
      <c r="N28">
        <f t="shared" si="4"/>
        <v>0</v>
      </c>
      <c r="O28">
        <f t="shared" si="5"/>
        <v>0</v>
      </c>
      <c r="S28" t="s">
        <v>34</v>
      </c>
      <c r="T28" s="13">
        <f>J35</f>
        <v>9436.093623110226</v>
      </c>
      <c r="U28">
        <v>0.82</v>
      </c>
      <c r="V28" s="16">
        <f t="shared" ref="V28:V30" si="7">T28*U28</f>
        <v>7737.5967709503848</v>
      </c>
    </row>
    <row r="29" spans="1:23" ht="15.6" x14ac:dyDescent="0.3">
      <c r="A29" s="4">
        <v>3</v>
      </c>
      <c r="B29" s="7">
        <f t="shared" si="6"/>
        <v>3</v>
      </c>
      <c r="C29" s="41">
        <v>0.80791305914046119</v>
      </c>
      <c r="D29" s="4">
        <v>361</v>
      </c>
      <c r="E29" s="34">
        <f t="shared" si="0"/>
        <v>18.350348123668763</v>
      </c>
      <c r="F29" s="36">
        <f t="shared" si="1"/>
        <v>234.52432735557667</v>
      </c>
      <c r="G29" s="42">
        <v>0.95</v>
      </c>
      <c r="H29" s="14"/>
      <c r="I29" s="14">
        <f t="shared" si="2"/>
        <v>0.28460313901761214</v>
      </c>
      <c r="J29" s="13">
        <f t="shared" si="3"/>
        <v>102.74173318535799</v>
      </c>
      <c r="K29" s="13"/>
      <c r="L29" s="13"/>
      <c r="M29" s="13"/>
      <c r="N29">
        <f t="shared" si="4"/>
        <v>0</v>
      </c>
      <c r="O29">
        <f t="shared" si="5"/>
        <v>0</v>
      </c>
      <c r="V29" s="16"/>
    </row>
    <row r="30" spans="1:23" ht="15.6" x14ac:dyDescent="0.3">
      <c r="A30" s="4">
        <v>4</v>
      </c>
      <c r="B30" s="7">
        <f t="shared" si="6"/>
        <v>4</v>
      </c>
      <c r="C30" s="41">
        <v>0.80914911954305868</v>
      </c>
      <c r="D30" s="4">
        <v>402</v>
      </c>
      <c r="E30" s="34">
        <f t="shared" si="0"/>
        <v>18.564684151775054</v>
      </c>
      <c r="F30" s="36">
        <f t="shared" si="1"/>
        <v>174.9969709864281</v>
      </c>
      <c r="G30" s="42">
        <v>0.95</v>
      </c>
      <c r="H30" s="14"/>
      <c r="I30" s="14">
        <f t="shared" si="2"/>
        <v>4.0260066976439496E-2</v>
      </c>
      <c r="J30" s="13">
        <f t="shared" si="3"/>
        <v>16.184546924528679</v>
      </c>
      <c r="K30" s="13"/>
      <c r="L30" s="13"/>
      <c r="M30" s="13"/>
      <c r="N30">
        <f t="shared" si="4"/>
        <v>0</v>
      </c>
      <c r="O30">
        <f t="shared" si="5"/>
        <v>0</v>
      </c>
      <c r="S30" t="s">
        <v>35</v>
      </c>
      <c r="T30">
        <f>J41</f>
        <v>13000</v>
      </c>
      <c r="U30">
        <v>1.5</v>
      </c>
      <c r="V30" s="16">
        <f t="shared" si="7"/>
        <v>19500</v>
      </c>
    </row>
    <row r="31" spans="1:23" ht="15.6" x14ac:dyDescent="0.3">
      <c r="A31" s="4">
        <v>5</v>
      </c>
      <c r="B31" s="7">
        <f t="shared" si="6"/>
        <v>5</v>
      </c>
      <c r="C31" s="41">
        <v>0.80859576473988515</v>
      </c>
      <c r="D31" s="4">
        <v>438</v>
      </c>
      <c r="E31" s="34">
        <f t="shared" si="0"/>
        <v>18.600000000000001</v>
      </c>
      <c r="F31" s="36">
        <f t="shared" si="1"/>
        <v>175.19999999999936</v>
      </c>
      <c r="G31" s="42">
        <v>0.95</v>
      </c>
      <c r="H31" s="14"/>
      <c r="I31" s="14">
        <f t="shared" si="2"/>
        <v>0</v>
      </c>
      <c r="J31" s="13">
        <f t="shared" si="3"/>
        <v>0</v>
      </c>
      <c r="K31" s="13"/>
      <c r="L31" s="13"/>
      <c r="M31" s="13"/>
      <c r="N31">
        <f t="shared" si="4"/>
        <v>0</v>
      </c>
      <c r="O31">
        <f t="shared" si="5"/>
        <v>0</v>
      </c>
    </row>
    <row r="32" spans="1:23" x14ac:dyDescent="0.3">
      <c r="A32" s="18" t="s">
        <v>37</v>
      </c>
      <c r="H32" s="8"/>
      <c r="J32" s="19">
        <f>SUM(J11:J31)</f>
        <v>9436.093623110226</v>
      </c>
      <c r="K32" s="20"/>
      <c r="O32" s="19">
        <f>SUM(O11:O31)</f>
        <v>0</v>
      </c>
      <c r="P32" s="20"/>
      <c r="T32" t="s">
        <v>36</v>
      </c>
      <c r="V32" s="17">
        <f>SUM(V27:V30)</f>
        <v>46172.996770950384</v>
      </c>
    </row>
    <row r="33" spans="1:20" x14ac:dyDescent="0.3">
      <c r="A33" s="18" t="s">
        <v>38</v>
      </c>
      <c r="B33" s="21"/>
      <c r="D33">
        <v>25930</v>
      </c>
      <c r="E33" t="s">
        <v>39</v>
      </c>
      <c r="G33" s="8">
        <v>0.95</v>
      </c>
      <c r="I33" s="2"/>
      <c r="J33" s="13"/>
      <c r="K33" s="22"/>
      <c r="L33" s="14"/>
      <c r="M33" s="15"/>
      <c r="O33" s="19">
        <f>(0.95-G33)*1.2*D33</f>
        <v>0</v>
      </c>
      <c r="P33" s="3"/>
    </row>
    <row r="34" spans="1:20" x14ac:dyDescent="0.3">
      <c r="A34" s="18"/>
      <c r="B34" s="21"/>
      <c r="G34" s="8"/>
      <c r="I34" s="2"/>
      <c r="J34" s="13"/>
      <c r="K34" s="22"/>
      <c r="L34" s="14"/>
      <c r="M34" s="15"/>
      <c r="P34" s="3"/>
    </row>
    <row r="35" spans="1:20" x14ac:dyDescent="0.3">
      <c r="B35" s="2"/>
      <c r="G35" t="s">
        <v>40</v>
      </c>
      <c r="J35" s="19">
        <f>J32+O32+O33</f>
        <v>9436.093623110226</v>
      </c>
      <c r="K35" s="3" t="s">
        <v>41</v>
      </c>
      <c r="L35" s="13"/>
      <c r="N35" s="2" t="s">
        <v>42</v>
      </c>
      <c r="P35" s="23">
        <f>I11+N11</f>
        <v>17.213999999999999</v>
      </c>
    </row>
    <row r="36" spans="1:20" x14ac:dyDescent="0.3">
      <c r="A36" s="2"/>
      <c r="I36" s="2"/>
      <c r="J36" s="24">
        <f>J35/C6</f>
        <v>3.7744374492440902</v>
      </c>
      <c r="K36" t="s">
        <v>44</v>
      </c>
      <c r="Q36" t="s">
        <v>43</v>
      </c>
    </row>
    <row r="37" spans="1:20" x14ac:dyDescent="0.3">
      <c r="M37" s="2"/>
    </row>
    <row r="38" spans="1:20" ht="45.6" customHeight="1" x14ac:dyDescent="0.3">
      <c r="A38" s="29" t="s">
        <v>45</v>
      </c>
      <c r="B38" s="29"/>
      <c r="C38" s="29"/>
      <c r="D38" s="29"/>
      <c r="J38">
        <v>13000</v>
      </c>
      <c r="K38" s="3" t="s">
        <v>41</v>
      </c>
      <c r="L38" s="14"/>
      <c r="M38" s="2"/>
      <c r="N38" t="s">
        <v>46</v>
      </c>
    </row>
    <row r="39" spans="1:20" x14ac:dyDescent="0.3">
      <c r="A39" s="30" t="s">
        <v>47</v>
      </c>
      <c r="B39" s="30"/>
      <c r="C39" s="30"/>
      <c r="D39" s="30"/>
      <c r="K39" s="3" t="s">
        <v>41</v>
      </c>
      <c r="N39" t="s">
        <v>48</v>
      </c>
      <c r="O39" s="13">
        <f>J35</f>
        <v>9436.093623110226</v>
      </c>
      <c r="P39" s="3" t="s">
        <v>41</v>
      </c>
    </row>
    <row r="40" spans="1:20" x14ac:dyDescent="0.3">
      <c r="A40" s="30" t="s">
        <v>50</v>
      </c>
      <c r="B40" s="30"/>
      <c r="C40" s="30"/>
      <c r="D40" s="30"/>
      <c r="H40" s="15"/>
      <c r="K40" s="3" t="s">
        <v>41</v>
      </c>
      <c r="N40" t="s">
        <v>51</v>
      </c>
      <c r="O40">
        <f>J41</f>
        <v>13000</v>
      </c>
      <c r="P40" s="3" t="s">
        <v>41</v>
      </c>
      <c r="R40" t="s">
        <v>49</v>
      </c>
      <c r="T40">
        <v>600000</v>
      </c>
    </row>
    <row r="41" spans="1:20" x14ac:dyDescent="0.3">
      <c r="A41" s="25"/>
      <c r="B41" s="25"/>
      <c r="C41" s="25"/>
      <c r="D41" s="25"/>
      <c r="H41" t="s">
        <v>51</v>
      </c>
      <c r="I41" t="s">
        <v>54</v>
      </c>
      <c r="J41">
        <f>SUM(J38:J40)</f>
        <v>13000</v>
      </c>
      <c r="K41" s="3" t="s">
        <v>41</v>
      </c>
      <c r="N41" t="s">
        <v>40</v>
      </c>
      <c r="O41" s="13">
        <f>O39+O40</f>
        <v>22436.093623110224</v>
      </c>
      <c r="P41" s="3" t="s">
        <v>41</v>
      </c>
      <c r="R41" t="s">
        <v>52</v>
      </c>
      <c r="T41" s="26" t="s">
        <v>53</v>
      </c>
    </row>
    <row r="42" spans="1:20" x14ac:dyDescent="0.3">
      <c r="A42" s="25"/>
      <c r="B42" s="25"/>
      <c r="C42" s="25"/>
      <c r="H42" t="s">
        <v>51</v>
      </c>
      <c r="I42" t="s">
        <v>57</v>
      </c>
      <c r="J42">
        <f>J41/C6</f>
        <v>5.2</v>
      </c>
      <c r="K42" t="s">
        <v>44</v>
      </c>
      <c r="N42" t="s">
        <v>58</v>
      </c>
      <c r="O42" s="15">
        <f>O41/C6</f>
        <v>8.974437449244089</v>
      </c>
      <c r="P42" t="s">
        <v>44</v>
      </c>
      <c r="R42" t="s">
        <v>55</v>
      </c>
      <c r="T42" s="26" t="s">
        <v>53</v>
      </c>
    </row>
    <row r="43" spans="1:20" x14ac:dyDescent="0.3">
      <c r="I43" s="15"/>
      <c r="J43" s="15"/>
    </row>
    <row r="44" spans="1:20" x14ac:dyDescent="0.3">
      <c r="E44" t="s">
        <v>56</v>
      </c>
      <c r="F44">
        <v>0.7</v>
      </c>
      <c r="H44" s="31" t="s">
        <v>59</v>
      </c>
      <c r="I44" s="31"/>
      <c r="J44">
        <f>J38*1.8+J35*0.7</f>
        <v>30005.265536177158</v>
      </c>
    </row>
    <row r="45" spans="1:20" x14ac:dyDescent="0.3">
      <c r="E45" t="s">
        <v>51</v>
      </c>
      <c r="F45">
        <v>1.8</v>
      </c>
      <c r="H45" s="27" t="s">
        <v>60</v>
      </c>
      <c r="I45" s="27"/>
      <c r="J45" s="15">
        <f>J44/C6</f>
        <v>12.002106214470864</v>
      </c>
      <c r="K45" s="15"/>
      <c r="L45" s="15"/>
    </row>
    <row r="46" spans="1:20" x14ac:dyDescent="0.3">
      <c r="J46" s="15"/>
      <c r="K46" s="15"/>
      <c r="L46" s="15"/>
    </row>
    <row r="47" spans="1:20" x14ac:dyDescent="0.3">
      <c r="J47" s="15"/>
      <c r="K47" s="15"/>
      <c r="L47" s="15"/>
    </row>
    <row r="53" spans="10:10" x14ac:dyDescent="0.3">
      <c r="J53" s="15"/>
    </row>
    <row r="54" spans="10:10" x14ac:dyDescent="0.3">
      <c r="J54" s="15"/>
    </row>
  </sheetData>
  <mergeCells count="17">
    <mergeCell ref="H44:I44"/>
    <mergeCell ref="Q2:W3"/>
    <mergeCell ref="Q5:W5"/>
    <mergeCell ref="Q7:W7"/>
    <mergeCell ref="Q4:W4"/>
    <mergeCell ref="Q8:W8"/>
    <mergeCell ref="Q11:W11"/>
    <mergeCell ref="Q9:W10"/>
    <mergeCell ref="Q13:W13"/>
    <mergeCell ref="Q12:W12"/>
    <mergeCell ref="Q14:W15"/>
    <mergeCell ref="Q6:W6"/>
    <mergeCell ref="I9:J9"/>
    <mergeCell ref="N9:O9"/>
    <mergeCell ref="A38:D38"/>
    <mergeCell ref="A39:D39"/>
    <mergeCell ref="A40:D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A2758127607A4D8E64BE394FE377D4" ma:contentTypeVersion="15" ma:contentTypeDescription="Skapa ett nytt dokument." ma:contentTypeScope="" ma:versionID="fa6b4c724ea68f7afaa551692850ccc5">
  <xsd:schema xmlns:xsd="http://www.w3.org/2001/XMLSchema" xmlns:xs="http://www.w3.org/2001/XMLSchema" xmlns:p="http://schemas.microsoft.com/office/2006/metadata/properties" xmlns:ns2="17d7603b-6b8d-43b6-9fbc-3c031badec51" xmlns:ns3="e16f3856-6088-4a39-9316-3c99ecc057c9" targetNamespace="http://schemas.microsoft.com/office/2006/metadata/properties" ma:root="true" ma:fieldsID="51afa139e606f27e92e01c355929f923" ns2:_="" ns3:_="">
    <xsd:import namespace="17d7603b-6b8d-43b6-9fbc-3c031badec51"/>
    <xsd:import namespace="e16f3856-6088-4a39-9316-3c99ecc057c9"/>
    <xsd:element name="properties">
      <xsd:complexType>
        <xsd:sequence>
          <xsd:element name="documentManagement">
            <xsd:complexType>
              <xsd:all>
                <xsd:element ref="ns2:PDP_Desc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7603b-6b8d-43b6-9fbc-3c031badec51" elementFormDefault="qualified">
    <xsd:import namespace="http://schemas.microsoft.com/office/2006/documentManagement/types"/>
    <xsd:import namespace="http://schemas.microsoft.com/office/infopath/2007/PartnerControls"/>
    <xsd:element name="PDP_Desc" ma:index="8" nillable="true" ma:displayName="Beskrivning" ma:internalName="PDP_Desc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c09e480-6855-4f8a-83b6-916c84321cd9}" ma:internalName="TaxCatchAll" ma:showField="CatchAllData" ma:web="17d7603b-6b8d-43b6-9fbc-3c031bade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f3856-6088-4a39-9316-3c99ecc05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416e829d-f284-4ff7-8186-3ac0651d97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5973D-B550-49F4-BB6F-3A1217586E5C}"/>
</file>

<file path=customXml/itemProps2.xml><?xml version="1.0" encoding="utf-8"?>
<ds:datastoreItem xmlns:ds="http://schemas.openxmlformats.org/officeDocument/2006/customXml" ds:itemID="{17595A62-CC4F-44BE-A61E-274AE438A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 eget Bostads-FTX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Kempe</dc:creator>
  <cp:lastModifiedBy>Per Kempe</cp:lastModifiedBy>
  <dcterms:created xsi:type="dcterms:W3CDTF">2024-04-05T14:34:27Z</dcterms:created>
  <dcterms:modified xsi:type="dcterms:W3CDTF">2024-04-19T15:02:12Z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a315a0-ea31-4454-8ac0-55d6f7ecaaa2_Enabled">
    <vt:lpwstr>true</vt:lpwstr>
  </property>
  <property fmtid="{D5CDD505-2E9C-101B-9397-08002B2CF9AE}" pid="3" name="MSIP_Label_32a315a0-ea31-4454-8ac0-55d6f7ecaaa2_SetDate">
    <vt:lpwstr>2024-04-19T14:45:52Z</vt:lpwstr>
  </property>
  <property fmtid="{D5CDD505-2E9C-101B-9397-08002B2CF9AE}" pid="4" name="MSIP_Label_32a315a0-ea31-4454-8ac0-55d6f7ecaaa2_Method">
    <vt:lpwstr>Privileged</vt:lpwstr>
  </property>
  <property fmtid="{D5CDD505-2E9C-101B-9397-08002B2CF9AE}" pid="5" name="MSIP_Label_32a315a0-ea31-4454-8ac0-55d6f7ecaaa2_Name">
    <vt:lpwstr>K1 Öppen</vt:lpwstr>
  </property>
  <property fmtid="{D5CDD505-2E9C-101B-9397-08002B2CF9AE}" pid="6" name="MSIP_Label_32a315a0-ea31-4454-8ac0-55d6f7ecaaa2_SiteId">
    <vt:lpwstr>5a9809cf-0bcb-413a-838a-09ecc40cc9e8</vt:lpwstr>
  </property>
  <property fmtid="{D5CDD505-2E9C-101B-9397-08002B2CF9AE}" pid="7" name="MSIP_Label_32a315a0-ea31-4454-8ac0-55d6f7ecaaa2_ActionId">
    <vt:lpwstr>6f094d99-e7bd-495d-bd55-54c7231b559f</vt:lpwstr>
  </property>
  <property fmtid="{D5CDD505-2E9C-101B-9397-08002B2CF9AE}" pid="8" name="MSIP_Label_32a315a0-ea31-4454-8ac0-55d6f7ecaaa2_ContentBits">
    <vt:lpwstr>0</vt:lpwstr>
  </property>
</Properties>
</file>