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://ams.corp.pbwan.net/projects/10338157/Document/3_Dokument/36_PM_Rapport/"/>
    </mc:Choice>
  </mc:AlternateContent>
  <xr:revisionPtr revIDLastSave="0" documentId="13_ncr:1_{7F9FE375-14EA-41F0-8FAE-134BFFEF72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athund" sheetId="9" r:id="rId1"/>
    <sheet name="Excelverktyg" sheetId="1" r:id="rId2"/>
    <sheet name="Grunddatafil" sheetId="8" state="hidden" r:id="rId3"/>
    <sheet name="Datapresentation" sheetId="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J10" i="1"/>
  <c r="P10" i="1"/>
  <c r="I8" i="1"/>
  <c r="J8" i="1" s="1"/>
  <c r="G10" i="1"/>
  <c r="H10" i="1" s="1"/>
  <c r="G9" i="1"/>
  <c r="H9" i="1" s="1"/>
  <c r="G8" i="1"/>
  <c r="O9" i="1"/>
  <c r="O8" i="1"/>
  <c r="U22" i="7" l="1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21" i="7"/>
  <c r="T9" i="7"/>
  <c r="U9" i="7" s="1"/>
  <c r="U16" i="7" s="1"/>
  <c r="T10" i="7"/>
  <c r="U10" i="7" s="1"/>
  <c r="U17" i="7" s="1"/>
  <c r="T11" i="7"/>
  <c r="T12" i="7"/>
  <c r="U12" i="7" s="1"/>
  <c r="U19" i="7" s="1"/>
  <c r="T8" i="7"/>
  <c r="U8" i="7" s="1"/>
  <c r="S12" i="7"/>
  <c r="S19" i="7" s="1"/>
  <c r="S9" i="7"/>
  <c r="S16" i="7" s="1"/>
  <c r="S11" i="7"/>
  <c r="S18" i="7" s="1"/>
  <c r="S8" i="7"/>
  <c r="S10" i="7"/>
  <c r="S17" i="7" s="1"/>
  <c r="I9" i="1"/>
  <c r="P8" i="1"/>
  <c r="U11" i="7" l="1"/>
  <c r="U18" i="7" s="1"/>
  <c r="H8" i="1"/>
  <c r="S15" i="7"/>
  <c r="U15" i="7"/>
  <c r="J9" i="1"/>
  <c r="K8" i="1" l="1"/>
  <c r="M8" i="1" s="1"/>
  <c r="K10" i="1"/>
  <c r="K9" i="1"/>
  <c r="M9" i="1" s="1"/>
  <c r="L10" i="1" l="1"/>
  <c r="N10" i="1" s="1"/>
  <c r="M10" i="1"/>
  <c r="L8" i="1"/>
  <c r="N8" i="1" s="1"/>
  <c r="L9" i="1"/>
  <c r="P9" i="1" l="1"/>
  <c r="Q9" i="1" s="1"/>
  <c r="Q10" i="1"/>
  <c r="Q8" i="1"/>
</calcChain>
</file>

<file path=xl/sharedStrings.xml><?xml version="1.0" encoding="utf-8"?>
<sst xmlns="http://schemas.openxmlformats.org/spreadsheetml/2006/main" count="103" uniqueCount="95">
  <si>
    <t>Årtal fönster</t>
  </si>
  <si>
    <t>Närmaste stad</t>
  </si>
  <si>
    <t>Utbyte</t>
  </si>
  <si>
    <t>Stockholm</t>
  </si>
  <si>
    <t>Göteborg</t>
  </si>
  <si>
    <t>Malmö</t>
  </si>
  <si>
    <t>Uppsala</t>
  </si>
  <si>
    <t>Arjeplog</t>
  </si>
  <si>
    <t>Luleå</t>
  </si>
  <si>
    <t>Umeå</t>
  </si>
  <si>
    <t>Gävle</t>
  </si>
  <si>
    <t>Mora</t>
  </si>
  <si>
    <t>Karlstad</t>
  </si>
  <si>
    <t>Växjö</t>
  </si>
  <si>
    <t>Temp.diff</t>
  </si>
  <si>
    <t>Udiff</t>
  </si>
  <si>
    <t>CO2-ekv, år (kg)</t>
  </si>
  <si>
    <t>CO2-payback (år)</t>
  </si>
  <si>
    <t>Kiruna</t>
  </si>
  <si>
    <t>Östersund</t>
  </si>
  <si>
    <t>Sundsvall</t>
  </si>
  <si>
    <t>Linköping</t>
  </si>
  <si>
    <t>Karlskrona</t>
  </si>
  <si>
    <t>Medeltemp uppv.säsong</t>
  </si>
  <si>
    <t>Antaganden:</t>
  </si>
  <si>
    <t>Engångsåtgärd (ej för att användas för upprepande beräkning)</t>
  </si>
  <si>
    <t>Endast uppvärmningssäsong (med medeltemp och timmar)</t>
  </si>
  <si>
    <t>Solvärme ej medtaget</t>
  </si>
  <si>
    <t>LCA-data hämtat från Boverkets klimatdatabas</t>
  </si>
  <si>
    <t>Temperaturer hämtade från SMHI</t>
  </si>
  <si>
    <t>Fönsteregenskaper hämtade från marknadsöversikt samt Diana Avasoo</t>
  </si>
  <si>
    <t>LCA för C1-C4 är proportioneliga mot övrig kostnad för utbyte och renovering</t>
  </si>
  <si>
    <t>Endast transmission genom fönster är medräknat och antaget linjär mot U-värdet</t>
  </si>
  <si>
    <t>Fjärrvärmes CO2 föränderligt över tid, medelvärdet anses mest robust för långsiktig användning</t>
  </si>
  <si>
    <t>Utbyte (3-glas) 0,8. Renovering (2+1) 1,6</t>
  </si>
  <si>
    <t>Antaget samma uppvärmningssäsong för hela Sverige</t>
  </si>
  <si>
    <t>Beräkningen involverar inte några ekonomiska analyser</t>
  </si>
  <si>
    <t>Besparing från justering av framledningstemperatur mm. ej explicit medräknat</t>
  </si>
  <si>
    <t>Antaget konstant innetemp på 21 grader</t>
  </si>
  <si>
    <t>U-värden (byte)</t>
  </si>
  <si>
    <t>Transmission (byte)</t>
  </si>
  <si>
    <t>U-värden (renovering)</t>
  </si>
  <si>
    <t>Transmission (renovering)</t>
  </si>
  <si>
    <t>CO2-offset (livstid, byte)</t>
  </si>
  <si>
    <t>CO2-offset (livstid, renovering)</t>
  </si>
  <si>
    <t>År</t>
  </si>
  <si>
    <t>CO2-minskning (byte)</t>
  </si>
  <si>
    <t>CO2-minskning (renovering)</t>
  </si>
  <si>
    <t>Placering: Uppsala</t>
  </si>
  <si>
    <t>Byggnadsinfo: exempel</t>
  </si>
  <si>
    <t>Fönsterarea: 150 kvm</t>
  </si>
  <si>
    <t>Fönster nyare än 90-tal är inte lika relevanta för studien (lågt hängande frukt mm.)</t>
  </si>
  <si>
    <t>Årtal: 1960 (U-värde fönster ca 3,0)</t>
  </si>
  <si>
    <t>CO2 livslängd (kg)</t>
  </si>
  <si>
    <t>Fjärrvärme som uppvärmningssätt (medel kg CO2-e för Sverige = 0,052)</t>
  </si>
  <si>
    <t>U-värden</t>
  </si>
  <si>
    <t>Medeltemperatur</t>
  </si>
  <si>
    <t>Fönsteråtgärder</t>
  </si>
  <si>
    <t>Tilläggsisolering</t>
  </si>
  <si>
    <t>Energi livslängd (kWh)</t>
  </si>
  <si>
    <t>CO2-e</t>
  </si>
  <si>
    <t>Energi, år (kWh)</t>
  </si>
  <si>
    <t>CO2-kostnad, byggnad (kg)</t>
  </si>
  <si>
    <t>Teknisk livslängd</t>
  </si>
  <si>
    <t>Ustart</t>
  </si>
  <si>
    <t>Åtgärd/U-värde</t>
  </si>
  <si>
    <t>Genom att ange klimatpåverkan för en fönsteråtgärd genererar verktyget även en payofftid för klimatpåverkan, dvs. hur lång tid det tar för fönsteråtgärden att återbetala sin klimatbelastning</t>
  </si>
  <si>
    <t>Minskade transmissionsförluster genom fönster leder till att byggnaden inte behöver värmas lika mycket och därmed får en lägre energiförbrukning</t>
  </si>
  <si>
    <t>Att använda excelverktyget:</t>
  </si>
  <si>
    <t>Fönsterarea, inkl. karm (m2)</t>
  </si>
  <si>
    <t>Scenario 1</t>
  </si>
  <si>
    <t>Scenario 2</t>
  </si>
  <si>
    <t>Scenario 3</t>
  </si>
  <si>
    <t>Lathund</t>
  </si>
  <si>
    <r>
      <rPr>
        <b/>
        <sz val="11"/>
        <color theme="1"/>
        <rFont val="Calibri"/>
        <family val="2"/>
        <scheme val="minor"/>
      </rPr>
      <t>Åtgärd/U-värde</t>
    </r>
    <r>
      <rPr>
        <sz val="11"/>
        <color theme="1"/>
        <rFont val="Calibri"/>
        <family val="2"/>
        <scheme val="minor"/>
      </rPr>
      <t xml:space="preserve"> - välj de åtgärder du vill jämföra</t>
    </r>
  </si>
  <si>
    <r>
      <rPr>
        <b/>
        <sz val="11"/>
        <color theme="1"/>
        <rFont val="Calibri"/>
        <family val="2"/>
        <scheme val="minor"/>
      </rPr>
      <t>Fönsterarea</t>
    </r>
    <r>
      <rPr>
        <sz val="11"/>
        <color theme="1"/>
        <rFont val="Calibri"/>
        <family val="2"/>
        <scheme val="minor"/>
      </rPr>
      <t xml:space="preserve"> - fyll i total fönsterarea (inkl. karm) för aktuell byggnad</t>
    </r>
  </si>
  <si>
    <r>
      <rPr>
        <b/>
        <sz val="11"/>
        <color theme="1"/>
        <rFont val="Calibri"/>
        <family val="2"/>
        <scheme val="minor"/>
      </rPr>
      <t>Åtgärd/U-värde</t>
    </r>
    <r>
      <rPr>
        <sz val="11"/>
        <color theme="1"/>
        <rFont val="Calibri"/>
        <family val="2"/>
        <scheme val="minor"/>
      </rPr>
      <t xml:space="preserve"> - fyll i fönsteråtgärdens resulterande U-värde</t>
    </r>
  </si>
  <si>
    <r>
      <rPr>
        <b/>
        <sz val="11"/>
        <color theme="1"/>
        <rFont val="Calibri"/>
        <family val="2"/>
        <scheme val="minor"/>
      </rPr>
      <t>Ustart</t>
    </r>
    <r>
      <rPr>
        <sz val="11"/>
        <color theme="1"/>
        <rFont val="Calibri"/>
        <family val="2"/>
        <scheme val="minor"/>
      </rPr>
      <t xml:space="preserve"> - fyll i befintliga fönsters U-värde</t>
    </r>
  </si>
  <si>
    <r>
      <rPr>
        <b/>
        <sz val="11"/>
        <color theme="1"/>
        <rFont val="Calibri"/>
        <family val="2"/>
        <scheme val="minor"/>
      </rPr>
      <t>CO2-kostnad</t>
    </r>
    <r>
      <rPr>
        <sz val="11"/>
        <color theme="1"/>
        <rFont val="Calibri"/>
        <family val="2"/>
        <scheme val="minor"/>
      </rPr>
      <t xml:space="preserve"> - fyll i fönsteråtgärdens klimatbelastning (per m2 fönster)</t>
    </r>
  </si>
  <si>
    <r>
      <rPr>
        <b/>
        <sz val="11"/>
        <color theme="1"/>
        <rFont val="Calibri"/>
        <family val="2"/>
        <scheme val="minor"/>
      </rPr>
      <t>Teknisk livslängd</t>
    </r>
    <r>
      <rPr>
        <sz val="11"/>
        <color theme="1"/>
        <rFont val="Calibri"/>
        <family val="2"/>
        <scheme val="minor"/>
      </rPr>
      <t xml:space="preserve"> - fyll i fönsteråtgärdens förväntade tekniska livslängd</t>
    </r>
  </si>
  <si>
    <t>Resultat:</t>
  </si>
  <si>
    <r>
      <rPr>
        <b/>
        <sz val="11"/>
        <color theme="1"/>
        <rFont val="Calibri"/>
        <family val="2"/>
        <scheme val="minor"/>
      </rPr>
      <t>Diagram 1</t>
    </r>
    <r>
      <rPr>
        <sz val="11"/>
        <color theme="1"/>
        <rFont val="Calibri"/>
        <family val="2"/>
        <scheme val="minor"/>
      </rPr>
      <t xml:space="preserve"> visar en uppskattning på hur mycket den tillförda värmeenergin till byggnaden kan minskas för varje scenario</t>
    </r>
  </si>
  <si>
    <r>
      <rPr>
        <b/>
        <sz val="11"/>
        <color theme="1"/>
        <rFont val="Calibri"/>
        <family val="2"/>
        <scheme val="minor"/>
      </rPr>
      <t>Diagram 2</t>
    </r>
    <r>
      <rPr>
        <sz val="11"/>
        <color theme="1"/>
        <rFont val="Calibri"/>
        <family val="2"/>
        <scheme val="minor"/>
      </rPr>
      <t xml:space="preserve"> visar en uppskattning på hur mycket byggnadens klimatutsläpp kan minskas för varje scenario</t>
    </r>
  </si>
  <si>
    <r>
      <rPr>
        <b/>
        <sz val="11"/>
        <color theme="1"/>
        <rFont val="Calibri"/>
        <family val="2"/>
        <scheme val="minor"/>
      </rPr>
      <t>Diagram 3</t>
    </r>
    <r>
      <rPr>
        <sz val="11"/>
        <color theme="1"/>
        <rFont val="Calibri"/>
        <family val="2"/>
        <scheme val="minor"/>
      </rPr>
      <t xml:space="preserve"> visar en uppskattning på hur lång tid det tar att återbetala klimatbelastningen för varje scenario</t>
    </r>
  </si>
  <si>
    <r>
      <t xml:space="preserve">I tabellen </t>
    </r>
    <r>
      <rPr>
        <b/>
        <sz val="11"/>
        <color theme="1"/>
        <rFont val="Calibri"/>
        <family val="2"/>
        <scheme val="minor"/>
      </rPr>
      <t>(kolumn L och M)</t>
    </r>
    <r>
      <rPr>
        <sz val="11"/>
        <color theme="1"/>
        <rFont val="Calibri"/>
        <family val="2"/>
        <scheme val="minor"/>
      </rPr>
      <t xml:space="preserve"> visas även uppskattningar på hur värmeenergin och klimatutsläppen minskar under hela fönsteråtgärdens tekniska livslängd</t>
    </r>
  </si>
  <si>
    <r>
      <rPr>
        <b/>
        <sz val="11"/>
        <color theme="1"/>
        <rFont val="Calibri"/>
        <family val="2"/>
        <scheme val="minor"/>
      </rPr>
      <t>Årtal</t>
    </r>
    <r>
      <rPr>
        <sz val="11"/>
        <color theme="1"/>
        <rFont val="Calibri"/>
        <family val="2"/>
        <scheme val="minor"/>
      </rPr>
      <t xml:space="preserve"> - välj det årtionde då befintliga fönster monterades i byggnaden/byggnaderna</t>
    </r>
  </si>
  <si>
    <r>
      <rPr>
        <b/>
        <sz val="11"/>
        <color theme="1"/>
        <rFont val="Calibri"/>
        <family val="2"/>
        <scheme val="minor"/>
      </rPr>
      <t>Fönsterarea</t>
    </r>
    <r>
      <rPr>
        <sz val="11"/>
        <color theme="1"/>
        <rFont val="Calibri"/>
        <family val="2"/>
        <scheme val="minor"/>
      </rPr>
      <t xml:space="preserve"> - fyll i total fönsterarea (inkl. karm) för den byggnad/de byggnader du vill jämföra</t>
    </r>
  </si>
  <si>
    <r>
      <rPr>
        <b/>
        <sz val="11"/>
        <color theme="1"/>
        <rFont val="Calibri"/>
        <family val="2"/>
        <scheme val="minor"/>
      </rPr>
      <t>Närmaste stad</t>
    </r>
    <r>
      <rPr>
        <sz val="11"/>
        <color theme="1"/>
        <rFont val="Calibri"/>
        <family val="2"/>
        <scheme val="minor"/>
      </rPr>
      <t xml:space="preserve"> - välj den stad som ligger närmast byggnaden/byggnaderna</t>
    </r>
  </si>
  <si>
    <t>Jämför två scenarion - Här kan förinställda åtgärdsförslag (utbyte till nya fönster, eller invändig tilläggsisolering av befintliga fönster) väljas i Scenario 1 och 2.</t>
  </si>
  <si>
    <t>Detta excelverktyg kan användas för att uppskatta ett flerbostadshus minskade transmissions(värme)förluster genom fönster, som resultat av en fönsteråtgärd</t>
  </si>
  <si>
    <t>Teknisk livlängd, scenario 3:</t>
  </si>
  <si>
    <t>Ange ett eget scenario - Här finns fler möjligheter till egna indata för den som har bra koll på de tekniska förutsättningarna för sin fönsteråtgärd</t>
  </si>
  <si>
    <t>OBS: Endast grönmarkerade celler med tjock kantlinje går att redigera</t>
  </si>
  <si>
    <t>Excelverktyg - Klimatpåverkan vid fönsteråtgärder</t>
  </si>
  <si>
    <t>CO2-kostnad (kg CO2-e/m2)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</si>
</sst>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Fill="1" applyBorder="1"/>
    <xf numFmtId="0" fontId="0" fillId="0" borderId="13" xfId="0" applyFill="1" applyBorder="1"/>
    <xf numFmtId="0" fontId="3" fillId="0" borderId="0" xfId="0" applyFont="1"/>
    <xf numFmtId="0" fontId="4" fillId="0" borderId="0" xfId="0" applyFont="1"/>
    <xf numFmtId="0" fontId="5" fillId="0" borderId="0" xfId="0" applyNumberFormat="1" applyFont="1"/>
    <xf numFmtId="0" fontId="5" fillId="0" borderId="0" xfId="0" applyFont="1"/>
    <xf numFmtId="0" fontId="1" fillId="0" borderId="7" xfId="0" applyFont="1" applyFill="1" applyBorder="1"/>
    <xf numFmtId="0" fontId="0" fillId="0" borderId="19" xfId="0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14" xfId="0" applyFill="1" applyBorder="1"/>
    <xf numFmtId="0" fontId="1" fillId="4" borderId="1" xfId="0" applyFont="1" applyFill="1" applyBorder="1"/>
    <xf numFmtId="1" fontId="0" fillId="4" borderId="1" xfId="0" applyNumberFormat="1" applyFill="1" applyBorder="1"/>
    <xf numFmtId="1" fontId="0" fillId="4" borderId="12" xfId="0" applyNumberFormat="1" applyFill="1" applyBorder="1"/>
    <xf numFmtId="0" fontId="1" fillId="5" borderId="1" xfId="0" applyFont="1" applyFill="1" applyBorder="1"/>
    <xf numFmtId="0" fontId="1" fillId="6" borderId="1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0" fillId="7" borderId="11" xfId="0" applyFill="1" applyBorder="1"/>
    <xf numFmtId="0" fontId="0" fillId="7" borderId="12" xfId="0" applyFill="1" applyBorder="1"/>
    <xf numFmtId="164" fontId="0" fillId="7" borderId="1" xfId="0" applyNumberFormat="1" applyFill="1" applyBorder="1"/>
    <xf numFmtId="0" fontId="0" fillId="8" borderId="0" xfId="0" applyFill="1"/>
    <xf numFmtId="0" fontId="0" fillId="8" borderId="0" xfId="0" applyFill="1" applyBorder="1"/>
    <xf numFmtId="0" fontId="1" fillId="8" borderId="0" xfId="0" applyFont="1" applyFill="1" applyBorder="1"/>
    <xf numFmtId="0" fontId="7" fillId="8" borderId="0" xfId="0" applyFont="1" applyFill="1" applyBorder="1"/>
    <xf numFmtId="0" fontId="7" fillId="8" borderId="0" xfId="0" applyFont="1" applyFill="1"/>
    <xf numFmtId="0" fontId="8" fillId="8" borderId="0" xfId="0" applyFont="1" applyFill="1"/>
    <xf numFmtId="0" fontId="9" fillId="8" borderId="0" xfId="0" applyFont="1" applyFill="1"/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2" borderId="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Minskad värmeförbrukning, år (kWh)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Excelverktyg!$K$8:$K$10</c:f>
              <c:numCache>
                <c:formatCode>0</c:formatCode>
                <c:ptCount val="3"/>
                <c:pt idx="0">
                  <c:v>25936.588799999998</c:v>
                </c:pt>
                <c:pt idx="1">
                  <c:v>19627.977600000002</c:v>
                </c:pt>
                <c:pt idx="2">
                  <c:v>20172.902399999999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9-43C6-93E0-14B221B8F5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9031472"/>
        <c:axId val="659031800"/>
      </c:barChart>
      <c:catAx>
        <c:axId val="659031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9031800"/>
        <c:crosses val="autoZero"/>
        <c:auto val="1"/>
        <c:lblAlgn val="ctr"/>
        <c:lblOffset val="100"/>
        <c:noMultiLvlLbl val="0"/>
      </c:catAx>
      <c:valAx>
        <c:axId val="659031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903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Minskad CO2-påverkan, år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Excelverktyg!$L$8:$L$10</c:f>
              <c:numCache>
                <c:formatCode>0</c:formatCode>
                <c:ptCount val="3"/>
                <c:pt idx="0">
                  <c:v>1348.7026175999997</c:v>
                </c:pt>
                <c:pt idx="1">
                  <c:v>1020.6548352000001</c:v>
                </c:pt>
                <c:pt idx="2">
                  <c:v>1048.9909247999999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9-498B-A5D1-16670A8B693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9083952"/>
        <c:axId val="659088544"/>
      </c:barChart>
      <c:catAx>
        <c:axId val="659083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9088544"/>
        <c:crosses val="autoZero"/>
        <c:auto val="1"/>
        <c:lblAlgn val="ctr"/>
        <c:lblOffset val="100"/>
        <c:noMultiLvlLbl val="0"/>
      </c:catAx>
      <c:valAx>
        <c:axId val="659088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908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CO2-payofftid (år)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Excelverktyg!$Q$8:$Q$10</c:f>
              <c:numCache>
                <c:formatCode>0.0</c:formatCode>
                <c:ptCount val="3"/>
                <c:pt idx="0">
                  <c:v>12.790069341376508</c:v>
                </c:pt>
                <c:pt idx="1">
                  <c:v>6.4664368132902759</c:v>
                </c:pt>
                <c:pt idx="2">
                  <c:v>16.444374867484079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1-472C-80D6-E8031A1EBD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4444048"/>
        <c:axId val="734447328"/>
      </c:barChart>
      <c:catAx>
        <c:axId val="734444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447328"/>
        <c:crosses val="autoZero"/>
        <c:auto val="1"/>
        <c:lblAlgn val="ctr"/>
        <c:lblOffset val="100"/>
        <c:noMultiLvlLbl val="0"/>
      </c:catAx>
      <c:valAx>
        <c:axId val="734447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3444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Minskad årlig</a:t>
            </a:r>
            <a:r>
              <a:rPr lang="sv-SE" baseline="0"/>
              <a:t> värmeförbrukning</a:t>
            </a:r>
            <a:r>
              <a:rPr lang="sv-SE"/>
              <a:t> vid fönsteråtgärder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Fönsterbyte</c:v>
          </c:tx>
          <c:spPr>
            <a:solidFill>
              <a:schemeClr val="accent1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Datapresentation!$R$3:$V$3</c:f>
              <c:numCache>
                <c:formatCode>General</c:formatCode>
                <c:ptCount val="5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</c:numCache>
            </c:numRef>
          </c:cat>
          <c:val>
            <c:numRef>
              <c:f>Datapresentation!$S$8:$S$12</c:f>
              <c:numCache>
                <c:formatCode>General</c:formatCode>
                <c:ptCount val="5"/>
                <c:pt idx="0">
                  <c:v>31700.2752</c:v>
                </c:pt>
                <c:pt idx="1">
                  <c:v>31700.2752</c:v>
                </c:pt>
                <c:pt idx="2">
                  <c:v>25936.588799999998</c:v>
                </c:pt>
                <c:pt idx="3">
                  <c:v>17291.0592</c:v>
                </c:pt>
                <c:pt idx="4">
                  <c:v>11527.372799999999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F-4F3C-9688-87AC7A177F54}"/>
            </c:ext>
          </c:extLst>
        </c:ser>
        <c:ser>
          <c:idx val="1"/>
          <c:order val="1"/>
          <c:tx>
            <c:v>TIlläggsisolering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Datapresentation!$R$3:$V$3</c:f>
              <c:numCache>
                <c:formatCode>General</c:formatCode>
                <c:ptCount val="5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</c:numCache>
            </c:numRef>
          </c:cat>
          <c:val>
            <c:numRef>
              <c:f>Datapresentation!$U$8:$U$12</c:f>
              <c:numCache>
                <c:formatCode>General</c:formatCode>
                <c:ptCount val="5"/>
                <c:pt idx="0">
                  <c:v>20172.902399999999</c:v>
                </c:pt>
                <c:pt idx="1">
                  <c:v>20172.902399999999</c:v>
                </c:pt>
                <c:pt idx="2">
                  <c:v>14409.216</c:v>
                </c:pt>
                <c:pt idx="3">
                  <c:v>5763.6863999999987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30-4EAF-A7FB-99FFAB68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951792"/>
        <c:axId val="739948184"/>
      </c:barChart>
      <c:catAx>
        <c:axId val="7399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48184"/>
        <c:crosses val="autoZero"/>
        <c:auto val="1"/>
        <c:lblAlgn val="ctr"/>
        <c:lblOffset val="100"/>
        <c:noMultiLvlLbl val="0"/>
      </c:catAx>
      <c:valAx>
        <c:axId val="73994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Värmebesparing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5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Årlig CO</a:t>
            </a:r>
            <a:r>
              <a:rPr lang="sv-SE" baseline="-25000"/>
              <a:t>2</a:t>
            </a:r>
            <a:r>
              <a:rPr lang="sv-SE"/>
              <a:t>-besparing vid fönsteråtgärder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Fönsterbyte</c:v>
          </c:tx>
          <c:invertIfNegative val="0"/>
          <c:cat>
            <c:numRef>
              <c:f>Datapresentation!$R$3:$V$3</c:f>
              <c:numCache>
                <c:formatCode>General</c:formatCode>
                <c:ptCount val="5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</c:numCache>
            </c:numRef>
          </c:cat>
          <c:val>
            <c:numRef>
              <c:f>Datapresentation!$S$15:$S$19</c:f>
              <c:numCache>
                <c:formatCode>General</c:formatCode>
                <c:ptCount val="5"/>
                <c:pt idx="0">
                  <c:v>1648.4143104</c:v>
                </c:pt>
                <c:pt idx="1">
                  <c:v>1648.4143104</c:v>
                </c:pt>
                <c:pt idx="2">
                  <c:v>1348.7026175999997</c:v>
                </c:pt>
                <c:pt idx="3">
                  <c:v>899.1350784</c:v>
                </c:pt>
                <c:pt idx="4">
                  <c:v>599.42338559999996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72-426F-9259-408583A94ECA}"/>
            </c:ext>
          </c:extLst>
        </c:ser>
        <c:ser>
          <c:idx val="0"/>
          <c:order val="1"/>
          <c:tx>
            <c:v>Tilläggsisolering</c:v>
          </c:tx>
          <c:invertIfNegative val="0"/>
          <c:cat>
            <c:numRef>
              <c:f>Datapresentation!$R$3:$V$3</c:f>
              <c:numCache>
                <c:formatCode>General</c:formatCode>
                <c:ptCount val="5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</c:numCache>
            </c:numRef>
          </c:cat>
          <c:val>
            <c:numRef>
              <c:f>Datapresentation!$U$15:$U$19</c:f>
              <c:numCache>
                <c:formatCode>General</c:formatCode>
                <c:ptCount val="5"/>
                <c:pt idx="0">
                  <c:v>1048.9909247999999</c:v>
                </c:pt>
                <c:pt idx="1">
                  <c:v>1048.9909247999999</c:v>
                </c:pt>
                <c:pt idx="2">
                  <c:v>749.27923199999998</c:v>
                </c:pt>
                <c:pt idx="3">
                  <c:v>299.71169279999992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2-4C6C-9E8B-C1EAB150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951792"/>
        <c:axId val="739948184"/>
      </c:barChart>
      <c:catAx>
        <c:axId val="7399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48184"/>
        <c:crosses val="autoZero"/>
        <c:auto val="1"/>
        <c:lblAlgn val="ctr"/>
        <c:lblOffset val="100"/>
        <c:noMultiLvlLbl val="0"/>
      </c:catAx>
      <c:valAx>
        <c:axId val="73994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Besparing (kg CO2ekv)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51792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spPr>
    <a:ln>
      <a:prstDash val="sysDash"/>
    </a:ln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Påverkan på CO2-utsläpp,</a:t>
            </a:r>
            <a:r>
              <a:rPr lang="sv-SE" baseline="0"/>
              <a:t> teknisk livslängd</a:t>
            </a:r>
            <a:endParaRPr lang="sv-S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Fönsterbyte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Lit>
              <c:ptCount val="11"/>
              <c:pt idx="0">
                <c:v>1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25</c:v>
              </c:pt>
              <c:pt idx="6">
                <c:v>30</c:v>
              </c:pt>
              <c:pt idx="7">
                <c:v>35</c:v>
              </c:pt>
              <c:pt idx="8">
                <c:v>40</c:v>
              </c:pt>
              <c:pt idx="9">
                <c:v>45</c:v>
              </c:pt>
              <c:pt idx="10">
                <c:v>50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Datapresentation!$S$21:$S$70</c15:sqref>
                  </c15:fullRef>
                </c:ext>
              </c:extLst>
              <c:f>(Datapresentation!$S$21,Datapresentation!$S$25,Datapresentation!$S$30,Datapresentation!$S$35,Datapresentation!$S$40,Datapresentation!$S$45,Datapresentation!$S$50,Datapresentation!$S$55,Datapresentation!$S$60,Datapresentation!$S$65,Datapresentation!$S$70)</c:f>
              <c:numCache>
                <c:formatCode>General</c:formatCode>
                <c:ptCount val="11"/>
                <c:pt idx="0">
                  <c:v>15601.585999999999</c:v>
                </c:pt>
                <c:pt idx="1">
                  <c:v>9007.93</c:v>
                </c:pt>
                <c:pt idx="2">
                  <c:v>765.86000000000058</c:v>
                </c:pt>
                <c:pt idx="3">
                  <c:v>-7476.2099999999991</c:v>
                </c:pt>
                <c:pt idx="4">
                  <c:v>-15718.279999999999</c:v>
                </c:pt>
                <c:pt idx="5">
                  <c:v>-23960.35</c:v>
                </c:pt>
                <c:pt idx="6">
                  <c:v>-32202.42</c:v>
                </c:pt>
                <c:pt idx="7">
                  <c:v>-40444.49</c:v>
                </c:pt>
                <c:pt idx="8">
                  <c:v>-48686.559999999998</c:v>
                </c:pt>
                <c:pt idx="9">
                  <c:v>-56928.630000000005</c:v>
                </c:pt>
                <c:pt idx="10">
                  <c:v>-65170.7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9-4D1E-ABEB-D9D93043673F}"/>
            </c:ext>
          </c:extLst>
        </c:ser>
        <c:ser>
          <c:idx val="0"/>
          <c:order val="1"/>
          <c:tx>
            <c:v>Tilläggsisolering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Lit>
              <c:ptCount val="11"/>
              <c:pt idx="0">
                <c:v>1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25</c:v>
              </c:pt>
              <c:pt idx="6">
                <c:v>30</c:v>
              </c:pt>
              <c:pt idx="7">
                <c:v>31</c:v>
              </c:pt>
              <c:pt idx="8">
                <c:v>32</c:v>
              </c:pt>
              <c:pt idx="9">
                <c:v>33</c:v>
              </c:pt>
              <c:pt idx="10">
                <c:v>34</c:v>
              </c:pt>
              <c:pt idx="11">
                <c:v>35</c:v>
              </c:pt>
              <c:pt idx="12">
                <c:v>36</c:v>
              </c:pt>
              <c:pt idx="13">
                <c:v>37</c:v>
              </c:pt>
              <c:pt idx="14">
                <c:v>38</c:v>
              </c:pt>
              <c:pt idx="15">
                <c:v>39</c:v>
              </c:pt>
              <c:pt idx="16">
                <c:v>40</c:v>
              </c:pt>
              <c:pt idx="17">
                <c:v>41</c:v>
              </c:pt>
              <c:pt idx="18">
                <c:v>42</c:v>
              </c:pt>
              <c:pt idx="19">
                <c:v>43</c:v>
              </c:pt>
              <c:pt idx="20">
                <c:v>44</c:v>
              </c:pt>
              <c:pt idx="21">
                <c:v>45</c:v>
              </c:pt>
              <c:pt idx="22">
                <c:v>46</c:v>
              </c:pt>
              <c:pt idx="23">
                <c:v>47</c:v>
              </c:pt>
              <c:pt idx="24">
                <c:v>48</c:v>
              </c:pt>
              <c:pt idx="25">
                <c:v>49</c:v>
              </c:pt>
              <c:pt idx="26">
                <c:v>50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Datapresentation!$U$21:$U$50</c15:sqref>
                  </c15:fullRef>
                </c:ext>
              </c:extLst>
              <c:f>(Datapresentation!$U$21,Datapresentation!$U$25,Datapresentation!$U$30,Datapresentation!$U$35,Datapresentation!$U$40,Datapresentation!$U$45,Datapresentation!$U$50)</c:f>
              <c:numCache>
                <c:formatCode>General</c:formatCode>
                <c:ptCount val="7"/>
                <c:pt idx="0">
                  <c:v>5551.009</c:v>
                </c:pt>
                <c:pt idx="1">
                  <c:v>1355.0450000000001</c:v>
                </c:pt>
                <c:pt idx="2">
                  <c:v>-3889.91</c:v>
                </c:pt>
                <c:pt idx="3">
                  <c:v>-9134.8649999999998</c:v>
                </c:pt>
                <c:pt idx="4">
                  <c:v>-14379.82</c:v>
                </c:pt>
                <c:pt idx="5">
                  <c:v>-19624.775000000001</c:v>
                </c:pt>
                <c:pt idx="6">
                  <c:v>-24869.73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5A-4F68-B1D7-648558259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951792"/>
        <c:axId val="739948184"/>
      </c:lineChart>
      <c:catAx>
        <c:axId val="7399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48184"/>
        <c:crosses val="autoZero"/>
        <c:auto val="1"/>
        <c:lblAlgn val="ctr"/>
        <c:lblOffset val="100"/>
        <c:noMultiLvlLbl val="0"/>
      </c:catAx>
      <c:valAx>
        <c:axId val="73994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CO2-offset (kg CO2ekv)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9951792"/>
        <c:crossesAt val="0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799182</xdr:colOff>
      <xdr:row>15</xdr:row>
      <xdr:rowOff>185407</xdr:rowOff>
    </xdr:from>
    <xdr:to>
      <xdr:col>5</xdr:col>
      <xdr:colOff>923210</xdr:colOff>
      <xdr:row>30</xdr:row>
      <xdr:rowOff>58985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80D8B3-DC94-49BE-8319-423088202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15</xdr:row>
      <xdr:rowOff>180975</xdr:rowOff>
    </xdr:from>
    <xdr:to>
      <xdr:col>12</xdr:col>
      <xdr:colOff>1333499</xdr:colOff>
      <xdr:row>30</xdr:row>
      <xdr:rowOff>67236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1C54F-8A64-42CF-8EE4-BDA06FCA0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1362075</xdr:colOff>
      <xdr:row>16</xdr:row>
      <xdr:rowOff>0</xdr:rowOff>
    </xdr:from>
    <xdr:to>
      <xdr:col>15</xdr:col>
      <xdr:colOff>1476375</xdr:colOff>
      <xdr:row>30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D5D7D47-8EA6-483C-8828-FB0260ACC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119062</xdr:rowOff>
    </xdr:from>
    <xdr:to>
      <xdr:col>7</xdr:col>
      <xdr:colOff>38100</xdr:colOff>
      <xdr:row>16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74B174-B57A-4E26-BFC2-29EF0A2B8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1</xdr:row>
      <xdr:rowOff>114300</xdr:rowOff>
    </xdr:from>
    <xdr:to>
      <xdr:col>15</xdr:col>
      <xdr:colOff>19050</xdr:colOff>
      <xdr:row>16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D4141F-12F3-48DA-8E02-E227A1A32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18</xdr:row>
      <xdr:rowOff>28575</xdr:rowOff>
    </xdr:from>
    <xdr:to>
      <xdr:col>7</xdr:col>
      <xdr:colOff>19050</xdr:colOff>
      <xdr:row>32</xdr:row>
      <xdr:rowOff>104775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2E3ADFF-A140-4DF2-B797-A1B6AD2FE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FA97-4E6B-46F8-83B3-5C55A8203744}">
  <dimension ref="B2:U29"/>
  <sheetViews>
    <sheetView workbookViewId="0"/>
  </sheetViews>
  <sheetFormatPr defaultRowHeight="15" x14ac:dyDescent="0.25"/>
  <cols>
    <col min="2" max="2" width="14.7109375" customWidth="1"/>
  </cols>
  <sheetData>
    <row r="2" spans="2:21" ht="33.75" x14ac:dyDescent="0.5">
      <c r="C2" s="18" t="s">
        <v>73</v>
      </c>
    </row>
    <row r="3" spans="2:21" ht="15.75" thickBot="1" x14ac:dyDescent="0.3"/>
    <row r="4" spans="2:21" x14ac:dyDescent="0.25">
      <c r="C4" s="44" t="s">
        <v>89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</row>
    <row r="5" spans="2:21" x14ac:dyDescent="0.25">
      <c r="C5" s="47" t="s">
        <v>66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9"/>
    </row>
    <row r="6" spans="2:21" x14ac:dyDescent="0.25">
      <c r="C6" s="47" t="s">
        <v>67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</row>
    <row r="7" spans="2:21" ht="15.75" thickBot="1" x14ac:dyDescent="0.3">
      <c r="C7" s="50" t="s">
        <v>92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2"/>
    </row>
    <row r="9" spans="2:21" ht="18.75" x14ac:dyDescent="0.3">
      <c r="C9" s="17" t="s">
        <v>68</v>
      </c>
      <c r="D9" s="17"/>
      <c r="E9" s="17"/>
    </row>
    <row r="10" spans="2:21" ht="23.25" x14ac:dyDescent="0.35">
      <c r="B10" s="19">
        <v>1</v>
      </c>
      <c r="C10" s="2" t="s">
        <v>88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2" spans="2:21" x14ac:dyDescent="0.25">
      <c r="C12" t="s">
        <v>74</v>
      </c>
    </row>
    <row r="13" spans="2:21" x14ac:dyDescent="0.25">
      <c r="C13" t="s">
        <v>86</v>
      </c>
    </row>
    <row r="14" spans="2:21" x14ac:dyDescent="0.25">
      <c r="C14" t="s">
        <v>85</v>
      </c>
    </row>
    <row r="15" spans="2:21" x14ac:dyDescent="0.25">
      <c r="C15" t="s">
        <v>87</v>
      </c>
    </row>
    <row r="17" spans="2:17" ht="23.25" x14ac:dyDescent="0.35">
      <c r="B17" s="20">
        <v>2</v>
      </c>
      <c r="C17" s="2" t="s">
        <v>91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9" spans="2:17" x14ac:dyDescent="0.25">
      <c r="C19" t="s">
        <v>76</v>
      </c>
    </row>
    <row r="20" spans="2:17" x14ac:dyDescent="0.25">
      <c r="C20" t="s">
        <v>75</v>
      </c>
    </row>
    <row r="21" spans="2:17" x14ac:dyDescent="0.25">
      <c r="C21" t="s">
        <v>77</v>
      </c>
    </row>
    <row r="22" spans="2:17" x14ac:dyDescent="0.25">
      <c r="C22" t="s">
        <v>87</v>
      </c>
    </row>
    <row r="23" spans="2:17" x14ac:dyDescent="0.25">
      <c r="C23" t="s">
        <v>78</v>
      </c>
    </row>
    <row r="24" spans="2:17" x14ac:dyDescent="0.25">
      <c r="C24" t="s">
        <v>79</v>
      </c>
    </row>
    <row r="26" spans="2:17" ht="23.25" x14ac:dyDescent="0.35">
      <c r="B26" s="20" t="s">
        <v>80</v>
      </c>
      <c r="C26" t="s">
        <v>81</v>
      </c>
    </row>
    <row r="27" spans="2:17" x14ac:dyDescent="0.25">
      <c r="C27" t="s">
        <v>82</v>
      </c>
    </row>
    <row r="28" spans="2:17" x14ac:dyDescent="0.25">
      <c r="C28" t="s">
        <v>83</v>
      </c>
    </row>
    <row r="29" spans="2:17" x14ac:dyDescent="0.25">
      <c r="C29" t="s">
        <v>84</v>
      </c>
    </row>
  </sheetData>
  <sheetProtection algorithmName="SHA-512" hashValue="cIbC/lAKq8teDPoDRXPqg/QM3fp/Ym9WbtKqn2ZUxKIIpd+nGRAYTv5ioq36VWt/jCjhUQM4UAZYfX5XO/KOVg==" saltValue="/kG5nFb53V361JXUwLlWag==" spinCount="100000" sheet="1" objects="1" scenarios="1"/>
  <mergeCells count="4">
    <mergeCell ref="C4:U4"/>
    <mergeCell ref="C5:U5"/>
    <mergeCell ref="C6:U6"/>
    <mergeCell ref="C7:U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4"/>
  <sheetViews>
    <sheetView tabSelected="1" zoomScaleNormal="100" workbookViewId="0">
      <selection activeCell="M4" sqref="M4"/>
    </sheetView>
  </sheetViews>
  <sheetFormatPr defaultRowHeight="15" x14ac:dyDescent="0.25"/>
  <cols>
    <col min="1" max="1" width="9.140625" style="37"/>
    <col min="2" max="3" width="15.140625" style="37" customWidth="1"/>
    <col min="4" max="4" width="26.42578125" style="37" customWidth="1"/>
    <col min="5" max="5" width="11.7109375" style="37" customWidth="1"/>
    <col min="6" max="6" width="14" style="37" customWidth="1"/>
    <col min="7" max="7" width="0" style="37" hidden="1" customWidth="1"/>
    <col min="8" max="8" width="4" style="37" hidden="1" customWidth="1"/>
    <col min="9" max="9" width="9.140625" style="37" customWidth="1"/>
    <col min="10" max="10" width="9.85546875" style="37" bestFit="1" customWidth="1"/>
    <col min="11" max="11" width="16.28515625" style="37" customWidth="1"/>
    <col min="12" max="12" width="14.85546875" style="37" customWidth="1"/>
    <col min="13" max="13" width="22" style="37" customWidth="1"/>
    <col min="14" max="14" width="22.5703125" style="37" customWidth="1"/>
    <col min="15" max="15" width="25.28515625" style="37" customWidth="1"/>
    <col min="16" max="16" width="26.28515625" style="37" customWidth="1"/>
    <col min="17" max="17" width="18.140625" style="37" customWidth="1"/>
    <col min="18" max="16384" width="9.140625" style="37"/>
  </cols>
  <sheetData>
    <row r="4" spans="1:17" ht="28.5" x14ac:dyDescent="0.45">
      <c r="D4" s="42" t="s">
        <v>93</v>
      </c>
      <c r="E4" s="42"/>
      <c r="F4" s="42"/>
      <c r="G4" s="43"/>
      <c r="H4" s="43"/>
      <c r="I4" s="43"/>
      <c r="J4" s="43"/>
    </row>
    <row r="5" spans="1:17" x14ac:dyDescent="0.25">
      <c r="B5" s="39"/>
      <c r="C5" s="38"/>
      <c r="D5" s="38"/>
      <c r="E5" s="38"/>
      <c r="F5" s="38"/>
      <c r="G5" s="38"/>
    </row>
    <row r="6" spans="1:17" x14ac:dyDescent="0.25">
      <c r="B6" s="38"/>
      <c r="C6" s="38"/>
      <c r="D6" s="38"/>
      <c r="E6" s="38"/>
      <c r="F6" s="38"/>
      <c r="G6" s="38"/>
    </row>
    <row r="7" spans="1:17" ht="15.75" thickBot="1" x14ac:dyDescent="0.3">
      <c r="B7" s="38"/>
      <c r="C7" s="30" t="s">
        <v>65</v>
      </c>
      <c r="D7" s="30" t="s">
        <v>69</v>
      </c>
      <c r="E7" s="30" t="s">
        <v>0</v>
      </c>
      <c r="F7" s="30" t="s">
        <v>1</v>
      </c>
      <c r="G7" s="31" t="s">
        <v>23</v>
      </c>
      <c r="H7" s="31" t="s">
        <v>14</v>
      </c>
      <c r="I7" s="32" t="s">
        <v>64</v>
      </c>
      <c r="J7" s="32" t="s">
        <v>15</v>
      </c>
      <c r="K7" s="26" t="s">
        <v>61</v>
      </c>
      <c r="L7" s="26" t="s">
        <v>16</v>
      </c>
      <c r="M7" s="23" t="s">
        <v>59</v>
      </c>
      <c r="N7" s="23" t="s">
        <v>53</v>
      </c>
      <c r="O7" s="29" t="s">
        <v>94</v>
      </c>
      <c r="P7" s="29" t="s">
        <v>62</v>
      </c>
      <c r="Q7" s="29" t="s">
        <v>17</v>
      </c>
    </row>
    <row r="8" spans="1:17" ht="16.5" thickBot="1" x14ac:dyDescent="0.3">
      <c r="A8" s="38"/>
      <c r="B8" s="40" t="s">
        <v>70</v>
      </c>
      <c r="C8" s="53" t="s">
        <v>2</v>
      </c>
      <c r="D8" s="53">
        <v>150</v>
      </c>
      <c r="E8" s="53">
        <v>1970</v>
      </c>
      <c r="F8" s="53" t="s">
        <v>6</v>
      </c>
      <c r="G8" s="12">
        <f>VLOOKUP(F8,Grunddatafil!A4:B19,2,FALSE)</f>
        <v>2.12</v>
      </c>
      <c r="H8" s="1">
        <f>21-G8</f>
        <v>18.88</v>
      </c>
      <c r="I8" s="33">
        <f>VLOOKUP(E8,Grunddatafil!D4:E8,2,FALSE)</f>
        <v>2.6</v>
      </c>
      <c r="J8" s="33">
        <f>I8-VLOOKUP(C8,Grunddatafil!G4:H5,2,FALSE)</f>
        <v>1.8</v>
      </c>
      <c r="K8" s="27">
        <f>D8*J8*5.088*H8</f>
        <v>25936.588799999998</v>
      </c>
      <c r="L8" s="27">
        <f>K8*0.052</f>
        <v>1348.7026175999997</v>
      </c>
      <c r="M8" s="24">
        <f>K8*VLOOKUP(C8,Grunddatafil!G4:K5,4,FALSE)</f>
        <v>1296829.4399999999</v>
      </c>
      <c r="N8" s="24">
        <f>L8*50 -P8</f>
        <v>50185.130879999982</v>
      </c>
      <c r="O8" s="33">
        <f>VLOOKUP(C8,Grunddatafil!G4:I5,3,FALSE)</f>
        <v>115</v>
      </c>
      <c r="P8" s="33">
        <f>D8*O8</f>
        <v>17250</v>
      </c>
      <c r="Q8" s="36">
        <f>P8/L8</f>
        <v>12.790069341376508</v>
      </c>
    </row>
    <row r="9" spans="1:17" ht="16.5" thickBot="1" x14ac:dyDescent="0.3">
      <c r="A9" s="38"/>
      <c r="B9" s="40" t="s">
        <v>71</v>
      </c>
      <c r="C9" s="54" t="s">
        <v>58</v>
      </c>
      <c r="D9" s="53">
        <v>150</v>
      </c>
      <c r="E9" s="53">
        <v>1960</v>
      </c>
      <c r="F9" s="53" t="s">
        <v>3</v>
      </c>
      <c r="G9" s="12">
        <f>VLOOKUP(F9,Grunddatafil!A4:B19,2,FALSE)</f>
        <v>2.63</v>
      </c>
      <c r="H9" s="1">
        <f t="shared" ref="H9:H10" si="0">21-G9</f>
        <v>18.37</v>
      </c>
      <c r="I9" s="34">
        <f>VLOOKUP(E9,Grunddatafil!D4:E8,2,FALSE)</f>
        <v>3</v>
      </c>
      <c r="J9" s="34">
        <f>I9-VLOOKUP(C9,Grunddatafil!G4:H5,2,FALSE)</f>
        <v>1.4</v>
      </c>
      <c r="K9" s="27">
        <f>D9*J9*5.088*H9</f>
        <v>19627.977600000002</v>
      </c>
      <c r="L9" s="27">
        <f>K9*0.052</f>
        <v>1020.6548352000001</v>
      </c>
      <c r="M9" s="24">
        <f>K9*VLOOKUP(C9,Grunddatafil!G4:K5,4,FALSE)</f>
        <v>588839.3280000001</v>
      </c>
      <c r="N9" s="24">
        <f>L9*30-P9</f>
        <v>24019.645056000001</v>
      </c>
      <c r="O9" s="34">
        <f>VLOOKUP(C9,Grunddatafil!G4:I5,3,FALSE)</f>
        <v>44</v>
      </c>
      <c r="P9" s="33">
        <f>D9*O9</f>
        <v>6600</v>
      </c>
      <c r="Q9" s="36">
        <f>P9/L9</f>
        <v>6.4664368132902759</v>
      </c>
    </row>
    <row r="10" spans="1:17" ht="16.5" thickBot="1" x14ac:dyDescent="0.3">
      <c r="B10" s="41" t="s">
        <v>72</v>
      </c>
      <c r="C10" s="55">
        <v>1.6</v>
      </c>
      <c r="D10" s="54">
        <v>150</v>
      </c>
      <c r="E10" s="53"/>
      <c r="F10" s="53" t="s">
        <v>6</v>
      </c>
      <c r="G10" s="12">
        <f>VLOOKUP(F10,Grunddatafil!A4:B19,2,FALSE)</f>
        <v>2.12</v>
      </c>
      <c r="H10" s="14">
        <f t="shared" si="0"/>
        <v>18.88</v>
      </c>
      <c r="I10" s="53">
        <v>3</v>
      </c>
      <c r="J10" s="35">
        <f>I10-C10</f>
        <v>1.4</v>
      </c>
      <c r="K10" s="28">
        <f>D10*J10*5.088*H10</f>
        <v>20172.902399999999</v>
      </c>
      <c r="L10" s="27">
        <f>K10*0.052</f>
        <v>1048.9909247999999</v>
      </c>
      <c r="M10" s="24">
        <f>K10*C13</f>
        <v>504322.56</v>
      </c>
      <c r="N10" s="25">
        <f>L10*C13-P10</f>
        <v>8974.773119999998</v>
      </c>
      <c r="O10" s="53">
        <v>115</v>
      </c>
      <c r="P10" s="35">
        <f>O10*D10</f>
        <v>17250</v>
      </c>
      <c r="Q10" s="36">
        <f>P10/L10</f>
        <v>16.444374867484079</v>
      </c>
    </row>
    <row r="11" spans="1:17" x14ac:dyDescent="0.25">
      <c r="B11" s="38"/>
      <c r="C11" s="38"/>
      <c r="D11" s="38"/>
      <c r="E11" s="38"/>
      <c r="F11" s="38"/>
      <c r="G11" s="38"/>
      <c r="H11" s="38"/>
      <c r="I11" s="38"/>
      <c r="J11" s="38"/>
    </row>
    <row r="12" spans="1:17" ht="15.75" thickBot="1" x14ac:dyDescent="0.3">
      <c r="B12" s="38"/>
      <c r="C12" s="21" t="s">
        <v>90</v>
      </c>
      <c r="D12" s="22"/>
      <c r="E12" s="38"/>
      <c r="F12" s="38"/>
      <c r="G12" s="38"/>
      <c r="H12" s="38"/>
      <c r="I12" s="38"/>
      <c r="J12" s="38"/>
    </row>
    <row r="13" spans="1:17" ht="15.75" thickBot="1" x14ac:dyDescent="0.3">
      <c r="B13" s="38"/>
      <c r="C13" s="56">
        <v>25</v>
      </c>
      <c r="D13" s="57"/>
      <c r="E13" s="38"/>
      <c r="F13" s="38"/>
      <c r="G13" s="38"/>
      <c r="H13" s="38"/>
      <c r="I13" s="38"/>
      <c r="J13" s="38"/>
    </row>
    <row r="17" spans="2:11" x14ac:dyDescent="0.25">
      <c r="J17" s="38"/>
    </row>
    <row r="18" spans="2:11" x14ac:dyDescent="0.25">
      <c r="K18" s="38"/>
    </row>
    <row r="19" spans="2:11" x14ac:dyDescent="0.25">
      <c r="K19" s="38"/>
    </row>
    <row r="21" spans="2:11" x14ac:dyDescent="0.25">
      <c r="K21" s="38"/>
    </row>
    <row r="22" spans="2:11" x14ac:dyDescent="0.25">
      <c r="K22" s="38"/>
    </row>
    <row r="23" spans="2:11" x14ac:dyDescent="0.25">
      <c r="K23" s="38"/>
    </row>
    <row r="27" spans="2:11" x14ac:dyDescent="0.25">
      <c r="B27" s="38"/>
      <c r="C27" s="38"/>
      <c r="D27" s="38"/>
      <c r="E27" s="38"/>
      <c r="F27" s="38"/>
      <c r="G27" s="38"/>
      <c r="H27" s="38"/>
      <c r="I27" s="38"/>
      <c r="J27" s="38"/>
    </row>
    <row r="28" spans="2:11" x14ac:dyDescent="0.25">
      <c r="B28" s="38"/>
      <c r="C28" s="39"/>
      <c r="D28" s="39"/>
      <c r="E28" s="39"/>
      <c r="F28" s="39"/>
      <c r="G28" s="39"/>
      <c r="H28" s="39"/>
      <c r="I28" s="38"/>
      <c r="J28" s="38"/>
    </row>
    <row r="29" spans="2:11" x14ac:dyDescent="0.25">
      <c r="B29" s="38"/>
      <c r="C29" s="38"/>
      <c r="D29" s="38"/>
      <c r="E29" s="38"/>
      <c r="F29" s="38"/>
      <c r="G29" s="38"/>
      <c r="H29" s="38"/>
      <c r="I29" s="38"/>
      <c r="J29" s="38"/>
    </row>
    <row r="30" spans="2:11" x14ac:dyDescent="0.25">
      <c r="B30" s="38"/>
      <c r="C30" s="38"/>
      <c r="D30" s="38"/>
      <c r="E30" s="38"/>
      <c r="F30" s="38"/>
      <c r="G30" s="38"/>
      <c r="H30" s="38"/>
      <c r="I30" s="38"/>
      <c r="J30" s="38"/>
    </row>
    <row r="31" spans="2:11" x14ac:dyDescent="0.25">
      <c r="B31" s="38"/>
      <c r="C31" s="38"/>
      <c r="D31" s="38"/>
      <c r="E31" s="38"/>
      <c r="F31" s="38"/>
      <c r="G31" s="38"/>
      <c r="H31" s="38"/>
      <c r="I31" s="38"/>
      <c r="J31" s="38"/>
    </row>
    <row r="32" spans="2:11" x14ac:dyDescent="0.25">
      <c r="B32" s="38"/>
      <c r="C32" s="38"/>
      <c r="D32" s="38"/>
      <c r="E32" s="38"/>
      <c r="F32" s="38"/>
      <c r="G32" s="38"/>
      <c r="H32" s="38"/>
      <c r="I32" s="38"/>
      <c r="J32" s="38"/>
    </row>
    <row r="33" spans="2:10" x14ac:dyDescent="0.25">
      <c r="B33" s="38"/>
      <c r="C33" s="38"/>
      <c r="D33" s="38"/>
      <c r="E33" s="38"/>
      <c r="F33" s="38"/>
      <c r="G33" s="38"/>
      <c r="H33" s="38"/>
      <c r="I33" s="38"/>
      <c r="J33" s="38"/>
    </row>
    <row r="34" spans="2:10" x14ac:dyDescent="0.25">
      <c r="B34" s="38"/>
      <c r="C34" s="38"/>
      <c r="D34" s="38"/>
      <c r="E34" s="38"/>
      <c r="F34" s="38"/>
      <c r="G34" s="38"/>
      <c r="H34" s="38"/>
      <c r="I34" s="38"/>
      <c r="J34" s="38"/>
    </row>
  </sheetData>
  <sheetProtection algorithmName="SHA-512" hashValue="Rwzhq3pFdrW6naqQ2Y8SGR5BkJUa/1Q5H+19+kVIy8j/LFgzJHC3MMU0MGPfDPdGPjOnlQjWvBIT0k9Htamiig==" saltValue="MalSI0O+41pIPRG4mMbMkQ==" spinCount="100000" sheet="1" objects="1" scenarios="1"/>
  <mergeCells count="1">
    <mergeCell ref="C13:D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0CC6AE2-19C5-4DA8-9C84-BA35B8763811}">
          <x14:formula1>
            <xm:f>Grunddatafil!$A$4:$A$19</xm:f>
          </x14:formula1>
          <xm:sqref>F8:F10</xm:sqref>
        </x14:dataValidation>
        <x14:dataValidation type="list" allowBlank="1" showInputMessage="1" showErrorMessage="1" xr:uid="{F44EB681-21BC-4E99-BC44-AB311CE866F1}">
          <x14:formula1>
            <xm:f>Grunddatafil!$D$4:$D$8</xm:f>
          </x14:formula1>
          <xm:sqref>E8 E10 E9</xm:sqref>
        </x14:dataValidation>
        <x14:dataValidation type="list" allowBlank="1" showInputMessage="1" showErrorMessage="1" xr:uid="{5150113E-7B30-4CEC-A011-A52030AA0644}">
          <x14:formula1>
            <xm:f>Grunddatafil!$G$4:$G$5</xm:f>
          </x14:formula1>
          <xm:sqref>C8:C9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84EE-4B44-475F-9C74-D46954D675FC}">
  <dimension ref="A2:N19"/>
  <sheetViews>
    <sheetView workbookViewId="0">
      <selection activeCell="J9" sqref="J9"/>
    </sheetView>
  </sheetViews>
  <sheetFormatPr defaultRowHeight="15" x14ac:dyDescent="0.25"/>
  <sheetData>
    <row r="2" spans="1:14" ht="15.75" thickBot="1" x14ac:dyDescent="0.3"/>
    <row r="3" spans="1:14" ht="15.75" thickBot="1" x14ac:dyDescent="0.3">
      <c r="A3" s="10" t="s">
        <v>56</v>
      </c>
      <c r="B3" s="11"/>
      <c r="D3" s="10"/>
      <c r="E3" s="11" t="s">
        <v>55</v>
      </c>
      <c r="G3" s="10" t="s">
        <v>57</v>
      </c>
      <c r="H3" s="13"/>
      <c r="I3" s="13" t="s">
        <v>60</v>
      </c>
      <c r="J3" s="16" t="s">
        <v>63</v>
      </c>
      <c r="K3" s="11"/>
      <c r="N3" s="2" t="s">
        <v>24</v>
      </c>
    </row>
    <row r="4" spans="1:14" x14ac:dyDescent="0.25">
      <c r="A4" s="3" t="s">
        <v>18</v>
      </c>
      <c r="B4" s="5">
        <v>-6.3</v>
      </c>
      <c r="D4" s="3">
        <v>1950</v>
      </c>
      <c r="E4" s="5">
        <v>3</v>
      </c>
      <c r="G4" s="3" t="s">
        <v>2</v>
      </c>
      <c r="H4" s="4">
        <v>0.8</v>
      </c>
      <c r="I4" s="9">
        <v>115</v>
      </c>
      <c r="J4" s="9">
        <v>50</v>
      </c>
      <c r="K4" s="5"/>
      <c r="N4" s="9" t="s">
        <v>26</v>
      </c>
    </row>
    <row r="5" spans="1:14" ht="15.75" thickBot="1" x14ac:dyDescent="0.3">
      <c r="A5" s="3" t="s">
        <v>7</v>
      </c>
      <c r="B5" s="5">
        <v>-5.61</v>
      </c>
      <c r="D5" s="3">
        <v>1960</v>
      </c>
      <c r="E5" s="5">
        <v>3</v>
      </c>
      <c r="G5" s="6" t="s">
        <v>58</v>
      </c>
      <c r="H5" s="7">
        <v>1.6</v>
      </c>
      <c r="I5" s="15">
        <v>44</v>
      </c>
      <c r="J5" s="15">
        <v>30</v>
      </c>
      <c r="K5" s="8"/>
      <c r="N5" s="9" t="s">
        <v>35</v>
      </c>
    </row>
    <row r="6" spans="1:14" x14ac:dyDescent="0.25">
      <c r="A6" s="3" t="s">
        <v>8</v>
      </c>
      <c r="B6" s="5">
        <v>-3.2</v>
      </c>
      <c r="D6" s="3">
        <v>1970</v>
      </c>
      <c r="E6" s="5">
        <v>2.6</v>
      </c>
      <c r="N6" t="s">
        <v>25</v>
      </c>
    </row>
    <row r="7" spans="1:14" x14ac:dyDescent="0.25">
      <c r="A7" s="3" t="s">
        <v>19</v>
      </c>
      <c r="B7" s="5">
        <v>-0.97</v>
      </c>
      <c r="D7" s="3">
        <v>1980</v>
      </c>
      <c r="E7" s="5">
        <v>2</v>
      </c>
      <c r="N7" t="s">
        <v>33</v>
      </c>
    </row>
    <row r="8" spans="1:14" ht="15.75" thickBot="1" x14ac:dyDescent="0.3">
      <c r="A8" s="3" t="s">
        <v>9</v>
      </c>
      <c r="B8" s="5">
        <v>-1.85</v>
      </c>
      <c r="D8" s="6">
        <v>1990</v>
      </c>
      <c r="E8" s="8">
        <v>1.6</v>
      </c>
      <c r="N8" t="s">
        <v>54</v>
      </c>
    </row>
    <row r="9" spans="1:14" x14ac:dyDescent="0.25">
      <c r="A9" s="3" t="s">
        <v>20</v>
      </c>
      <c r="B9" s="5">
        <v>-1.32</v>
      </c>
      <c r="N9" t="s">
        <v>31</v>
      </c>
    </row>
    <row r="10" spans="1:14" x14ac:dyDescent="0.25">
      <c r="A10" s="3" t="s">
        <v>11</v>
      </c>
      <c r="B10" s="5">
        <v>0.31</v>
      </c>
      <c r="N10" t="s">
        <v>27</v>
      </c>
    </row>
    <row r="11" spans="1:14" x14ac:dyDescent="0.25">
      <c r="A11" s="3" t="s">
        <v>10</v>
      </c>
      <c r="B11" s="5">
        <v>1.41</v>
      </c>
      <c r="N11" t="s">
        <v>37</v>
      </c>
    </row>
    <row r="12" spans="1:14" x14ac:dyDescent="0.25">
      <c r="A12" s="3" t="s">
        <v>6</v>
      </c>
      <c r="B12" s="5">
        <v>2.12</v>
      </c>
      <c r="N12" t="s">
        <v>38</v>
      </c>
    </row>
    <row r="13" spans="1:14" x14ac:dyDescent="0.25">
      <c r="A13" s="3" t="s">
        <v>3</v>
      </c>
      <c r="B13" s="5">
        <v>2.63</v>
      </c>
      <c r="N13" t="s">
        <v>28</v>
      </c>
    </row>
    <row r="14" spans="1:14" x14ac:dyDescent="0.25">
      <c r="A14" s="3" t="s">
        <v>12</v>
      </c>
      <c r="B14" s="5">
        <v>2.02</v>
      </c>
      <c r="N14" t="s">
        <v>29</v>
      </c>
    </row>
    <row r="15" spans="1:14" x14ac:dyDescent="0.25">
      <c r="A15" s="3" t="s">
        <v>21</v>
      </c>
      <c r="B15" s="5">
        <v>2.63</v>
      </c>
      <c r="N15" t="s">
        <v>30</v>
      </c>
    </row>
    <row r="16" spans="1:14" x14ac:dyDescent="0.25">
      <c r="A16" s="3" t="s">
        <v>13</v>
      </c>
      <c r="B16" s="5">
        <v>3.06</v>
      </c>
      <c r="N16" t="s">
        <v>32</v>
      </c>
    </row>
    <row r="17" spans="1:14" x14ac:dyDescent="0.25">
      <c r="A17" s="3" t="s">
        <v>4</v>
      </c>
      <c r="B17" s="5">
        <v>5.15</v>
      </c>
      <c r="N17" t="s">
        <v>51</v>
      </c>
    </row>
    <row r="18" spans="1:14" x14ac:dyDescent="0.25">
      <c r="A18" s="3" t="s">
        <v>22</v>
      </c>
      <c r="B18" s="5">
        <v>4.9800000000000004</v>
      </c>
      <c r="N18" t="s">
        <v>34</v>
      </c>
    </row>
    <row r="19" spans="1:14" ht="15.75" thickBot="1" x14ac:dyDescent="0.3">
      <c r="A19" s="6" t="s">
        <v>5</v>
      </c>
      <c r="B19" s="8">
        <v>5.47</v>
      </c>
      <c r="N19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C9AF-DD37-4791-B8D6-8E16C01169B4}">
  <dimension ref="A1:W70"/>
  <sheetViews>
    <sheetView topLeftCell="A4" zoomScaleNormal="100" workbookViewId="0">
      <selection activeCell="H31" sqref="H31"/>
    </sheetView>
  </sheetViews>
  <sheetFormatPr defaultRowHeight="15" x14ac:dyDescent="0.25"/>
  <cols>
    <col min="3" max="3" width="12.85546875" customWidth="1"/>
    <col min="4" max="4" width="12" customWidth="1"/>
  </cols>
  <sheetData>
    <row r="1" spans="1:23" x14ac:dyDescent="0.25">
      <c r="A1" s="2"/>
    </row>
    <row r="3" spans="1:23" x14ac:dyDescent="0.25">
      <c r="R3">
        <v>1950</v>
      </c>
      <c r="S3">
        <v>1960</v>
      </c>
      <c r="T3">
        <v>1970</v>
      </c>
      <c r="U3">
        <v>1980</v>
      </c>
      <c r="V3">
        <v>1990</v>
      </c>
    </row>
    <row r="7" spans="1:23" x14ac:dyDescent="0.25">
      <c r="R7" s="2" t="s">
        <v>39</v>
      </c>
      <c r="S7" s="2" t="s">
        <v>40</v>
      </c>
      <c r="T7" s="2" t="s">
        <v>41</v>
      </c>
      <c r="U7" s="2" t="s">
        <v>42</v>
      </c>
      <c r="V7" s="2"/>
      <c r="W7" s="2"/>
    </row>
    <row r="8" spans="1:23" x14ac:dyDescent="0.25">
      <c r="R8">
        <v>3</v>
      </c>
      <c r="S8">
        <f>(R8-0.8)*150*18.88*5.088</f>
        <v>31700.2752</v>
      </c>
      <c r="T8">
        <f>Grunddatafil!E4</f>
        <v>3</v>
      </c>
      <c r="U8">
        <f>(T8-1.6)*150*18.88*5.088</f>
        <v>20172.902399999999</v>
      </c>
    </row>
    <row r="9" spans="1:23" x14ac:dyDescent="0.25">
      <c r="R9">
        <v>3</v>
      </c>
      <c r="S9">
        <f>(R9-0.8)*150*18.88*5.088</f>
        <v>31700.2752</v>
      </c>
      <c r="T9">
        <f>Grunddatafil!E5</f>
        <v>3</v>
      </c>
      <c r="U9">
        <f t="shared" ref="U9:U12" si="0">(T9-1.6)*150*18.88*5.088</f>
        <v>20172.902399999999</v>
      </c>
    </row>
    <row r="10" spans="1:23" x14ac:dyDescent="0.25">
      <c r="R10">
        <v>2.6</v>
      </c>
      <c r="S10">
        <f>(R10-0.8)*150*18.88*5.088</f>
        <v>25936.588799999998</v>
      </c>
      <c r="T10">
        <f>Grunddatafil!E6</f>
        <v>2.6</v>
      </c>
      <c r="U10">
        <f t="shared" si="0"/>
        <v>14409.216</v>
      </c>
    </row>
    <row r="11" spans="1:23" x14ac:dyDescent="0.25">
      <c r="R11">
        <v>2</v>
      </c>
      <c r="S11">
        <f>(R11-0.8)*150*18.88*5.088</f>
        <v>17291.0592</v>
      </c>
      <c r="T11">
        <f>Grunddatafil!E7</f>
        <v>2</v>
      </c>
      <c r="U11">
        <f t="shared" si="0"/>
        <v>5763.6863999999987</v>
      </c>
    </row>
    <row r="12" spans="1:23" x14ac:dyDescent="0.25">
      <c r="R12">
        <v>1.6</v>
      </c>
      <c r="S12">
        <f>(R12-0.8)*150*18.88*5.088</f>
        <v>11527.372799999999</v>
      </c>
      <c r="T12">
        <f>Grunddatafil!E8</f>
        <v>1.6</v>
      </c>
      <c r="U12">
        <f t="shared" si="0"/>
        <v>0</v>
      </c>
    </row>
    <row r="14" spans="1:23" x14ac:dyDescent="0.25">
      <c r="R14" s="2" t="s">
        <v>39</v>
      </c>
      <c r="S14" s="2" t="s">
        <v>46</v>
      </c>
      <c r="T14" s="2" t="s">
        <v>41</v>
      </c>
      <c r="U14" s="2" t="s">
        <v>47</v>
      </c>
      <c r="V14" s="2"/>
      <c r="W14" s="2"/>
    </row>
    <row r="15" spans="1:23" x14ac:dyDescent="0.25">
      <c r="R15">
        <v>3</v>
      </c>
      <c r="S15">
        <f>S8*0.052</f>
        <v>1648.4143104</v>
      </c>
      <c r="T15">
        <v>3</v>
      </c>
      <c r="U15">
        <f>U8*0.052</f>
        <v>1048.9909247999999</v>
      </c>
    </row>
    <row r="16" spans="1:23" x14ac:dyDescent="0.25">
      <c r="R16">
        <v>3</v>
      </c>
      <c r="S16">
        <f t="shared" ref="S16:S18" si="1">S9*0.052</f>
        <v>1648.4143104</v>
      </c>
      <c r="T16">
        <v>3</v>
      </c>
      <c r="U16">
        <f t="shared" ref="U16:U18" si="2">U9*0.052</f>
        <v>1048.9909247999999</v>
      </c>
    </row>
    <row r="17" spans="9:23" x14ac:dyDescent="0.25">
      <c r="R17">
        <v>2.6</v>
      </c>
      <c r="S17">
        <f t="shared" si="1"/>
        <v>1348.7026175999997</v>
      </c>
      <c r="T17">
        <v>2.6</v>
      </c>
      <c r="U17">
        <f t="shared" si="2"/>
        <v>749.27923199999998</v>
      </c>
    </row>
    <row r="18" spans="9:23" x14ac:dyDescent="0.25">
      <c r="R18">
        <v>2</v>
      </c>
      <c r="S18">
        <f t="shared" si="1"/>
        <v>899.1350784</v>
      </c>
      <c r="T18">
        <v>2</v>
      </c>
      <c r="U18">
        <f t="shared" si="2"/>
        <v>299.71169279999992</v>
      </c>
    </row>
    <row r="19" spans="9:23" x14ac:dyDescent="0.25">
      <c r="R19">
        <v>1.6</v>
      </c>
      <c r="S19">
        <f>S12*0.052</f>
        <v>599.42338559999996</v>
      </c>
      <c r="T19">
        <v>1.6</v>
      </c>
      <c r="U19">
        <f>U12*0.052</f>
        <v>0</v>
      </c>
    </row>
    <row r="20" spans="9:23" x14ac:dyDescent="0.25">
      <c r="I20" s="2" t="s">
        <v>49</v>
      </c>
      <c r="R20" s="2" t="s">
        <v>45</v>
      </c>
      <c r="S20" s="2" t="s">
        <v>43</v>
      </c>
      <c r="T20" s="2"/>
      <c r="U20" s="2" t="s">
        <v>44</v>
      </c>
      <c r="V20" s="2"/>
      <c r="W20" s="2"/>
    </row>
    <row r="21" spans="9:23" x14ac:dyDescent="0.25">
      <c r="I21" t="s">
        <v>52</v>
      </c>
      <c r="Q21">
        <v>1</v>
      </c>
      <c r="R21">
        <v>1</v>
      </c>
      <c r="S21">
        <f>150*115-(1648.414*R21)</f>
        <v>15601.585999999999</v>
      </c>
      <c r="U21">
        <f>150*44-(1048.991*R21)</f>
        <v>5551.009</v>
      </c>
    </row>
    <row r="22" spans="9:23" x14ac:dyDescent="0.25">
      <c r="I22" t="s">
        <v>48</v>
      </c>
      <c r="Q22">
        <v>5</v>
      </c>
      <c r="R22">
        <v>2</v>
      </c>
      <c r="S22">
        <f t="shared" ref="S22:S70" si="3">150*115-(1648.414*R22)</f>
        <v>13953.172</v>
      </c>
      <c r="U22">
        <f t="shared" ref="U22:U70" si="4">150*44-(1048.991*R22)</f>
        <v>4502.018</v>
      </c>
    </row>
    <row r="23" spans="9:23" x14ac:dyDescent="0.25">
      <c r="I23" t="s">
        <v>50</v>
      </c>
      <c r="Q23">
        <v>10</v>
      </c>
      <c r="R23">
        <v>3</v>
      </c>
      <c r="S23">
        <f t="shared" si="3"/>
        <v>12304.758</v>
      </c>
      <c r="U23">
        <f t="shared" si="4"/>
        <v>3453.027</v>
      </c>
    </row>
    <row r="24" spans="9:23" x14ac:dyDescent="0.25">
      <c r="Q24">
        <v>15</v>
      </c>
      <c r="R24">
        <v>4</v>
      </c>
      <c r="S24">
        <f t="shared" si="3"/>
        <v>10656.344000000001</v>
      </c>
      <c r="U24">
        <f t="shared" si="4"/>
        <v>2404.0360000000001</v>
      </c>
    </row>
    <row r="25" spans="9:23" x14ac:dyDescent="0.25">
      <c r="Q25">
        <v>20</v>
      </c>
      <c r="R25">
        <v>5</v>
      </c>
      <c r="S25">
        <f t="shared" si="3"/>
        <v>9007.93</v>
      </c>
      <c r="U25">
        <f t="shared" si="4"/>
        <v>1355.0450000000001</v>
      </c>
    </row>
    <row r="26" spans="9:23" x14ac:dyDescent="0.25">
      <c r="Q26">
        <v>25</v>
      </c>
      <c r="R26">
        <v>6</v>
      </c>
      <c r="S26">
        <f t="shared" si="3"/>
        <v>7359.5159999999996</v>
      </c>
      <c r="U26">
        <f t="shared" si="4"/>
        <v>306.05400000000009</v>
      </c>
    </row>
    <row r="27" spans="9:23" x14ac:dyDescent="0.25">
      <c r="Q27">
        <v>30</v>
      </c>
      <c r="R27">
        <v>7</v>
      </c>
      <c r="S27">
        <f t="shared" si="3"/>
        <v>5711.1020000000008</v>
      </c>
      <c r="U27">
        <f t="shared" si="4"/>
        <v>-742.9369999999999</v>
      </c>
    </row>
    <row r="28" spans="9:23" x14ac:dyDescent="0.25">
      <c r="Q28">
        <v>35</v>
      </c>
      <c r="R28">
        <v>8</v>
      </c>
      <c r="S28">
        <f t="shared" si="3"/>
        <v>4062.6880000000001</v>
      </c>
      <c r="U28">
        <f t="shared" si="4"/>
        <v>-1791.9279999999999</v>
      </c>
    </row>
    <row r="29" spans="9:23" x14ac:dyDescent="0.25">
      <c r="Q29">
        <v>40</v>
      </c>
      <c r="R29">
        <v>9</v>
      </c>
      <c r="S29">
        <f t="shared" si="3"/>
        <v>2414.2739999999994</v>
      </c>
      <c r="U29">
        <f t="shared" si="4"/>
        <v>-2840.9189999999999</v>
      </c>
    </row>
    <row r="30" spans="9:23" x14ac:dyDescent="0.25">
      <c r="Q30">
        <v>45</v>
      </c>
      <c r="R30">
        <v>10</v>
      </c>
      <c r="S30">
        <f t="shared" si="3"/>
        <v>765.86000000000058</v>
      </c>
      <c r="U30">
        <f t="shared" si="4"/>
        <v>-3889.91</v>
      </c>
    </row>
    <row r="31" spans="9:23" x14ac:dyDescent="0.25">
      <c r="Q31">
        <v>50</v>
      </c>
      <c r="R31">
        <v>11</v>
      </c>
      <c r="S31">
        <f t="shared" si="3"/>
        <v>-882.55400000000009</v>
      </c>
      <c r="U31">
        <f t="shared" si="4"/>
        <v>-4938.9009999999998</v>
      </c>
    </row>
    <row r="32" spans="9:23" x14ac:dyDescent="0.25">
      <c r="R32">
        <v>12</v>
      </c>
      <c r="S32">
        <f t="shared" si="3"/>
        <v>-2530.9680000000008</v>
      </c>
      <c r="U32">
        <f t="shared" si="4"/>
        <v>-5987.8919999999998</v>
      </c>
    </row>
    <row r="33" spans="18:21" x14ac:dyDescent="0.25">
      <c r="R33">
        <v>13</v>
      </c>
      <c r="S33">
        <f t="shared" si="3"/>
        <v>-4179.3820000000014</v>
      </c>
      <c r="U33">
        <f t="shared" si="4"/>
        <v>-7036.8829999999998</v>
      </c>
    </row>
    <row r="34" spans="18:21" x14ac:dyDescent="0.25">
      <c r="R34">
        <v>14</v>
      </c>
      <c r="S34">
        <f t="shared" si="3"/>
        <v>-5827.7959999999985</v>
      </c>
      <c r="U34">
        <f t="shared" si="4"/>
        <v>-8085.8739999999998</v>
      </c>
    </row>
    <row r="35" spans="18:21" x14ac:dyDescent="0.25">
      <c r="R35">
        <v>15</v>
      </c>
      <c r="S35">
        <f t="shared" si="3"/>
        <v>-7476.2099999999991</v>
      </c>
      <c r="U35">
        <f t="shared" si="4"/>
        <v>-9134.8649999999998</v>
      </c>
    </row>
    <row r="36" spans="18:21" x14ac:dyDescent="0.25">
      <c r="R36">
        <v>16</v>
      </c>
      <c r="S36">
        <f t="shared" si="3"/>
        <v>-9124.6239999999998</v>
      </c>
      <c r="U36">
        <f t="shared" si="4"/>
        <v>-10183.856</v>
      </c>
    </row>
    <row r="37" spans="18:21" x14ac:dyDescent="0.25">
      <c r="R37">
        <v>17</v>
      </c>
      <c r="S37">
        <f t="shared" si="3"/>
        <v>-10773.038</v>
      </c>
      <c r="U37">
        <f t="shared" si="4"/>
        <v>-11232.847000000002</v>
      </c>
    </row>
    <row r="38" spans="18:21" x14ac:dyDescent="0.25">
      <c r="R38">
        <v>18</v>
      </c>
      <c r="S38">
        <f t="shared" si="3"/>
        <v>-12421.452000000001</v>
      </c>
      <c r="U38">
        <f t="shared" si="4"/>
        <v>-12281.838</v>
      </c>
    </row>
    <row r="39" spans="18:21" x14ac:dyDescent="0.25">
      <c r="R39">
        <v>19</v>
      </c>
      <c r="S39">
        <f t="shared" si="3"/>
        <v>-14069.865999999998</v>
      </c>
      <c r="U39">
        <f t="shared" si="4"/>
        <v>-13330.828999999998</v>
      </c>
    </row>
    <row r="40" spans="18:21" x14ac:dyDescent="0.25">
      <c r="R40">
        <v>20</v>
      </c>
      <c r="S40">
        <f t="shared" si="3"/>
        <v>-15718.279999999999</v>
      </c>
      <c r="U40">
        <f t="shared" si="4"/>
        <v>-14379.82</v>
      </c>
    </row>
    <row r="41" spans="18:21" x14ac:dyDescent="0.25">
      <c r="R41">
        <v>21</v>
      </c>
      <c r="S41">
        <f t="shared" si="3"/>
        <v>-17366.694000000003</v>
      </c>
      <c r="U41">
        <f t="shared" si="4"/>
        <v>-15428.811000000002</v>
      </c>
    </row>
    <row r="42" spans="18:21" x14ac:dyDescent="0.25">
      <c r="R42">
        <v>22</v>
      </c>
      <c r="S42">
        <f t="shared" si="3"/>
        <v>-19015.108</v>
      </c>
      <c r="U42">
        <f t="shared" si="4"/>
        <v>-16477.802</v>
      </c>
    </row>
    <row r="43" spans="18:21" x14ac:dyDescent="0.25">
      <c r="R43">
        <v>23</v>
      </c>
      <c r="S43">
        <f t="shared" si="3"/>
        <v>-20663.521999999997</v>
      </c>
      <c r="U43">
        <f t="shared" si="4"/>
        <v>-17526.792999999998</v>
      </c>
    </row>
    <row r="44" spans="18:21" x14ac:dyDescent="0.25">
      <c r="R44">
        <v>24</v>
      </c>
      <c r="S44">
        <f t="shared" si="3"/>
        <v>-22311.936000000002</v>
      </c>
      <c r="U44">
        <f t="shared" si="4"/>
        <v>-18575.784</v>
      </c>
    </row>
    <row r="45" spans="18:21" x14ac:dyDescent="0.25">
      <c r="R45">
        <v>25</v>
      </c>
      <c r="S45">
        <f t="shared" si="3"/>
        <v>-23960.35</v>
      </c>
      <c r="U45">
        <f t="shared" si="4"/>
        <v>-19624.775000000001</v>
      </c>
    </row>
    <row r="46" spans="18:21" x14ac:dyDescent="0.25">
      <c r="R46">
        <v>26</v>
      </c>
      <c r="S46">
        <f t="shared" si="3"/>
        <v>-25608.764000000003</v>
      </c>
      <c r="U46">
        <f t="shared" si="4"/>
        <v>-20673.766</v>
      </c>
    </row>
    <row r="47" spans="18:21" x14ac:dyDescent="0.25">
      <c r="R47">
        <v>27</v>
      </c>
      <c r="S47">
        <f t="shared" si="3"/>
        <v>-27257.178</v>
      </c>
      <c r="U47">
        <f t="shared" si="4"/>
        <v>-21722.756999999998</v>
      </c>
    </row>
    <row r="48" spans="18:21" x14ac:dyDescent="0.25">
      <c r="R48">
        <v>28</v>
      </c>
      <c r="S48">
        <f t="shared" si="3"/>
        <v>-28905.591999999997</v>
      </c>
      <c r="U48">
        <f t="shared" si="4"/>
        <v>-22771.748</v>
      </c>
    </row>
    <row r="49" spans="18:21" x14ac:dyDescent="0.25">
      <c r="R49">
        <v>29</v>
      </c>
      <c r="S49">
        <f t="shared" si="3"/>
        <v>-30554.006000000001</v>
      </c>
      <c r="U49">
        <f t="shared" si="4"/>
        <v>-23820.739000000001</v>
      </c>
    </row>
    <row r="50" spans="18:21" x14ac:dyDescent="0.25">
      <c r="R50">
        <v>30</v>
      </c>
      <c r="S50">
        <f t="shared" si="3"/>
        <v>-32202.42</v>
      </c>
      <c r="U50">
        <f t="shared" si="4"/>
        <v>-24869.73</v>
      </c>
    </row>
    <row r="51" spans="18:21" x14ac:dyDescent="0.25">
      <c r="R51">
        <v>31</v>
      </c>
      <c r="S51">
        <f t="shared" si="3"/>
        <v>-33850.834000000003</v>
      </c>
      <c r="U51">
        <f t="shared" si="4"/>
        <v>-25918.720999999998</v>
      </c>
    </row>
    <row r="52" spans="18:21" x14ac:dyDescent="0.25">
      <c r="R52">
        <v>32</v>
      </c>
      <c r="S52">
        <f t="shared" si="3"/>
        <v>-35499.248</v>
      </c>
      <c r="U52">
        <f t="shared" si="4"/>
        <v>-26967.712</v>
      </c>
    </row>
    <row r="53" spans="18:21" x14ac:dyDescent="0.25">
      <c r="R53">
        <v>33</v>
      </c>
      <c r="S53">
        <f t="shared" si="3"/>
        <v>-37147.661999999997</v>
      </c>
      <c r="U53">
        <f t="shared" si="4"/>
        <v>-28016.703000000001</v>
      </c>
    </row>
    <row r="54" spans="18:21" x14ac:dyDescent="0.25">
      <c r="R54">
        <v>34</v>
      </c>
      <c r="S54">
        <f t="shared" si="3"/>
        <v>-38796.076000000001</v>
      </c>
      <c r="U54">
        <f t="shared" si="4"/>
        <v>-29065.694000000003</v>
      </c>
    </row>
    <row r="55" spans="18:21" x14ac:dyDescent="0.25">
      <c r="R55">
        <v>35</v>
      </c>
      <c r="S55">
        <f t="shared" si="3"/>
        <v>-40444.49</v>
      </c>
      <c r="U55">
        <f t="shared" si="4"/>
        <v>-30114.684999999998</v>
      </c>
    </row>
    <row r="56" spans="18:21" x14ac:dyDescent="0.25">
      <c r="R56">
        <v>36</v>
      </c>
      <c r="S56">
        <f t="shared" si="3"/>
        <v>-42092.904000000002</v>
      </c>
      <c r="U56">
        <f t="shared" si="4"/>
        <v>-31163.675999999999</v>
      </c>
    </row>
    <row r="57" spans="18:21" x14ac:dyDescent="0.25">
      <c r="R57">
        <v>37</v>
      </c>
      <c r="S57">
        <f t="shared" si="3"/>
        <v>-43741.317999999999</v>
      </c>
      <c r="U57">
        <f t="shared" si="4"/>
        <v>-32212.667000000001</v>
      </c>
    </row>
    <row r="58" spans="18:21" x14ac:dyDescent="0.25">
      <c r="R58">
        <v>38</v>
      </c>
      <c r="S58">
        <f t="shared" si="3"/>
        <v>-45389.731999999996</v>
      </c>
      <c r="U58">
        <f t="shared" si="4"/>
        <v>-33261.657999999996</v>
      </c>
    </row>
    <row r="59" spans="18:21" x14ac:dyDescent="0.25">
      <c r="R59">
        <v>39</v>
      </c>
      <c r="S59">
        <f t="shared" si="3"/>
        <v>-47038.146000000001</v>
      </c>
      <c r="U59">
        <f t="shared" si="4"/>
        <v>-34310.648999999998</v>
      </c>
    </row>
    <row r="60" spans="18:21" x14ac:dyDescent="0.25">
      <c r="R60">
        <v>40</v>
      </c>
      <c r="S60">
        <f t="shared" si="3"/>
        <v>-48686.559999999998</v>
      </c>
      <c r="U60">
        <f t="shared" si="4"/>
        <v>-35359.64</v>
      </c>
    </row>
    <row r="61" spans="18:21" x14ac:dyDescent="0.25">
      <c r="R61">
        <v>41</v>
      </c>
      <c r="S61">
        <f t="shared" si="3"/>
        <v>-50334.974000000002</v>
      </c>
      <c r="U61">
        <f t="shared" si="4"/>
        <v>-36408.631000000001</v>
      </c>
    </row>
    <row r="62" spans="18:21" x14ac:dyDescent="0.25">
      <c r="R62">
        <v>42</v>
      </c>
      <c r="S62">
        <f t="shared" si="3"/>
        <v>-51983.388000000006</v>
      </c>
      <c r="U62">
        <f t="shared" si="4"/>
        <v>-37457.622000000003</v>
      </c>
    </row>
    <row r="63" spans="18:21" x14ac:dyDescent="0.25">
      <c r="R63">
        <v>43</v>
      </c>
      <c r="S63">
        <f t="shared" si="3"/>
        <v>-53631.801999999996</v>
      </c>
      <c r="U63">
        <f t="shared" si="4"/>
        <v>-38506.612999999998</v>
      </c>
    </row>
    <row r="64" spans="18:21" x14ac:dyDescent="0.25">
      <c r="R64">
        <v>44</v>
      </c>
      <c r="S64">
        <f t="shared" si="3"/>
        <v>-55280.216</v>
      </c>
      <c r="U64">
        <f t="shared" si="4"/>
        <v>-39555.603999999999</v>
      </c>
    </row>
    <row r="65" spans="18:21" x14ac:dyDescent="0.25">
      <c r="R65">
        <v>45</v>
      </c>
      <c r="S65">
        <f t="shared" si="3"/>
        <v>-56928.630000000005</v>
      </c>
      <c r="U65">
        <f t="shared" si="4"/>
        <v>-40604.595000000001</v>
      </c>
    </row>
    <row r="66" spans="18:21" x14ac:dyDescent="0.25">
      <c r="R66">
        <v>46</v>
      </c>
      <c r="S66">
        <f t="shared" si="3"/>
        <v>-58577.043999999994</v>
      </c>
      <c r="U66">
        <f t="shared" si="4"/>
        <v>-41653.585999999996</v>
      </c>
    </row>
    <row r="67" spans="18:21" x14ac:dyDescent="0.25">
      <c r="R67">
        <v>47</v>
      </c>
      <c r="S67">
        <f t="shared" si="3"/>
        <v>-60225.457999999999</v>
      </c>
      <c r="U67">
        <f t="shared" si="4"/>
        <v>-42702.576999999997</v>
      </c>
    </row>
    <row r="68" spans="18:21" x14ac:dyDescent="0.25">
      <c r="R68">
        <v>48</v>
      </c>
      <c r="S68">
        <f t="shared" si="3"/>
        <v>-61873.872000000003</v>
      </c>
      <c r="U68">
        <f t="shared" si="4"/>
        <v>-43751.567999999999</v>
      </c>
    </row>
    <row r="69" spans="18:21" x14ac:dyDescent="0.25">
      <c r="R69">
        <v>49</v>
      </c>
      <c r="S69">
        <f t="shared" si="3"/>
        <v>-63522.285999999993</v>
      </c>
      <c r="U69">
        <f t="shared" si="4"/>
        <v>-44800.559000000001</v>
      </c>
    </row>
    <row r="70" spans="18:21" x14ac:dyDescent="0.25">
      <c r="R70">
        <v>50</v>
      </c>
      <c r="S70">
        <f t="shared" si="3"/>
        <v>-65170.7</v>
      </c>
      <c r="U70">
        <f t="shared" si="4"/>
        <v>-45849.55</v>
      </c>
    </row>
  </sheetData>
  <sheetProtection algorithmName="SHA-512" hashValue="E7YyIBNiEyJEuip4Y3goYVxdvYon+p67OcEcBuCyr+/PQ0qbYKvxCTrfT80488y9NR60TN4zMX+Vcd/zTuyYhg==" saltValue="CUoJw3UOkfj2GfioJMAD9A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F375442176B8184394C41200B3FF9FC3" ma:contentTypeVersion="0" ma:contentTypeDescription="" ma:contentTypeScope="" ma:versionID="1e96bc52a095c89abd92e063232b6c0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c802182b7b16f9ee5527c44c605c0f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BeBo koordinering 2022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333141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AssignNr xmlns="http://schemas.microsoft.com/sharepoint/v3">10333141</PVSWSDocAssignNr>
    <PVSWSDocAssignmentResponsible xmlns="http://schemas.microsoft.com/sharepoint/v3">Werner, Göran</PVSWSDocAssignmentResponsible>
    <PVSWSDocName xmlns="http://schemas.microsoft.com/sharepoint/v3">BeBo Fönster excel</PVSWSDocName>
    <PVSWSDocItemVersion xmlns="http://schemas.microsoft.com/sharepoint/v3">0.1</PVSWSDocItemVersion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ProjName xmlns="http://schemas.microsoft.com/sharepoint/v3">BeBo koordinering 2022</PVSWSDocProjName>
    <PVSWSDocChangeLabel xmlns="http://schemas.microsoft.com/sharepoint/v3" xsi:nil="true"/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2022-11-23T16:35:35+00:00</PVSWSDocDate>
    <PVSWSDocAssignment xmlns="http://schemas.microsoft.com/sharepoint/v3">BeBo - Förstudie klimatpåverkan vid fönsteråtgärder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5217C4-2E4D-466F-9E61-179276D9DAC9}"/>
</file>

<file path=customXml/itemProps2.xml><?xml version="1.0" encoding="utf-8"?>
<ds:datastoreItem xmlns:ds="http://schemas.openxmlformats.org/officeDocument/2006/customXml" ds:itemID="{6B0C9B44-A8AF-4F79-86AF-6220D8C8B297}"/>
</file>

<file path=customXml/itemProps3.xml><?xml version="1.0" encoding="utf-8"?>
<ds:datastoreItem xmlns:ds="http://schemas.openxmlformats.org/officeDocument/2006/customXml" ds:itemID="{D912EEDC-65E1-4926-9443-F505E9696B32}"/>
</file>

<file path=customXml/itemProps4.xml><?xml version="1.0" encoding="utf-8"?>
<ds:datastoreItem xmlns:ds="http://schemas.openxmlformats.org/officeDocument/2006/customXml" ds:itemID="{0D00DE78-3815-49F1-A1A0-44CE9FA0A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Lathund</vt:lpstr>
      <vt:lpstr>Excelverktyg</vt:lpstr>
      <vt:lpstr>Grunddatafil</vt:lpstr>
      <vt:lpstr>Datapresentation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Ericson, Andreas</dc:creator>
  <cp:lastModifiedBy>Ericson, Andreas</cp:lastModifiedBy>
  <dcterms:created xsi:type="dcterms:W3CDTF">2015-06-05T18:17:20Z</dcterms:created>
  <dcterms:modified xsi:type="dcterms:W3CDTF">2022-11-30T16:20:17Z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0x010100F3AFF667EC9D4557811DA86F1C6D7EFB00F375442176B8184394C41200B3FF9FC3</vt:lpwstr>
  </property>
</Properties>
</file>